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bajo Ing Miguel Capera\Ing Miguel Capera - Rioblanco 2026\Presupuesto\01-Enero\General Santander sede principal\MC - GENERAL SANTANDER - OBRA\"/>
    </mc:Choice>
  </mc:AlternateContent>
  <xr:revisionPtr revIDLastSave="0" documentId="13_ncr:1_{145C32CE-90DC-4D29-83A2-93BCD523E8C8}" xr6:coauthVersionLast="47" xr6:coauthVersionMax="47" xr10:uidLastSave="{00000000-0000-0000-0000-000000000000}"/>
  <bookViews>
    <workbookView xWindow="-108" yWindow="-108" windowWidth="23256" windowHeight="12456" tabRatio="747" activeTab="18" xr2:uid="{55C08469-0D77-47EA-AA21-3EE8938D6FE1}"/>
  </bookViews>
  <sheets>
    <sheet name="LIST (3)" sheetId="129" r:id="rId1"/>
    <sheet name="LIST (2)" sheetId="128" state="hidden" r:id="rId2"/>
    <sheet name="PTA-015" sheetId="120" state="hidden" r:id="rId3"/>
    <sheet name="PTA-014" sheetId="121" state="hidden" r:id="rId4"/>
    <sheet name="PTA-013" sheetId="122" state="hidden" r:id="rId5"/>
    <sheet name="PTA-012" sheetId="123" state="hidden" r:id="rId6"/>
    <sheet name="PTA-011" sheetId="124" state="hidden" r:id="rId7"/>
    <sheet name="PTA-010" sheetId="125" state="hidden" r:id="rId8"/>
    <sheet name="PTA-009" sheetId="126" state="hidden" r:id="rId9"/>
    <sheet name="PTA-008" sheetId="127" state="hidden" r:id="rId10"/>
    <sheet name="AIU" sheetId="90" r:id="rId11"/>
    <sheet name="LIST" sheetId="75" state="hidden" r:id="rId12"/>
    <sheet name="REND" sheetId="73" state="hidden" r:id="rId13"/>
    <sheet name="EQUI" sheetId="74" r:id="rId14"/>
    <sheet name="TRANS" sheetId="76" r:id="rId15"/>
    <sheet name="INS" sheetId="46" state="hidden" r:id="rId16"/>
    <sheet name="MO" sheetId="51" r:id="rId17"/>
    <sheet name="MEMORIA DE CANTIDADES" sheetId="2" r:id="rId18"/>
    <sheet name="PTO" sheetId="1" r:id="rId19"/>
    <sheet name="PTA-007" sheetId="112" state="hidden" r:id="rId20"/>
    <sheet name="ELC-007" sheetId="111" state="hidden" r:id="rId21"/>
    <sheet name="ELC-006" sheetId="109" state="hidden" r:id="rId22"/>
    <sheet name="ELC-005" sheetId="108" state="hidden" r:id="rId23"/>
    <sheet name="ELC-004" sheetId="107" state="hidden" r:id="rId24"/>
    <sheet name="LF-001" sheetId="104" state="hidden" r:id="rId25"/>
    <sheet name="CIE-005" sheetId="113" state="hidden" r:id="rId26"/>
    <sheet name="CIE-004" sheetId="110" state="hidden" r:id="rId27"/>
    <sheet name="CIE-003" sheetId="106" state="hidden" r:id="rId28"/>
    <sheet name="CIE-002" sheetId="105" state="hidden" r:id="rId29"/>
    <sheet name="CIE-001" sheetId="103" state="hidden" r:id="rId30"/>
    <sheet name="HS-009" sheetId="102" state="hidden" r:id="rId31"/>
    <sheet name="HS-008" sheetId="101" state="hidden" r:id="rId32"/>
    <sheet name="HS-007" sheetId="99" state="hidden" r:id="rId33"/>
    <sheet name="HS-006" sheetId="100" state="hidden" r:id="rId34"/>
    <sheet name="HS-005" sheetId="98" state="hidden" r:id="rId35"/>
    <sheet name="HS-004" sheetId="97" state="hidden" r:id="rId36"/>
    <sheet name="HS-003" sheetId="96" state="hidden" r:id="rId37"/>
    <sheet name="HS-002" sheetId="95" state="hidden" r:id="rId38"/>
    <sheet name="HS-001" sheetId="94" state="hidden" r:id="rId39"/>
    <sheet name="ELC-003" sheetId="91" state="hidden" r:id="rId40"/>
    <sheet name="CMR-002" sheetId="88" state="hidden" r:id="rId41"/>
    <sheet name="CMR-001" sheetId="89" state="hidden" r:id="rId42"/>
    <sheet name="PTA-006" sheetId="87" state="hidden" r:id="rId43"/>
    <sheet name="PTA-005" sheetId="86" state="hidden" r:id="rId44"/>
    <sheet name="PTA-004" sheetId="92" state="hidden" r:id="rId45"/>
    <sheet name="PTA-003" sheetId="85" state="hidden" r:id="rId46"/>
    <sheet name="PTA-002" sheetId="84" state="hidden" r:id="rId47"/>
    <sheet name="PTA-001" sheetId="83" state="hidden" r:id="rId48"/>
    <sheet name="P-0013" sheetId="114" state="hidden" r:id="rId49"/>
    <sheet name="P-0012" sheetId="115" state="hidden" r:id="rId50"/>
    <sheet name="P-0011" sheetId="116" state="hidden" r:id="rId51"/>
    <sheet name="P-0010" sheetId="117" state="hidden" r:id="rId52"/>
    <sheet name="P-0009" sheetId="118" state="hidden" r:id="rId53"/>
    <sheet name="P-0008" sheetId="119" state="hidden" r:id="rId54"/>
    <sheet name="P-0007" sheetId="93" state="hidden" r:id="rId55"/>
    <sheet name="P-0006" sheetId="81" state="hidden" r:id="rId56"/>
    <sheet name="P-0005" sheetId="80" state="hidden" r:id="rId57"/>
    <sheet name="P-0004" sheetId="79" state="hidden" r:id="rId58"/>
    <sheet name="P-0003" sheetId="78" state="hidden" r:id="rId59"/>
    <sheet name="P-0002" sheetId="77" state="hidden" r:id="rId60"/>
    <sheet name="P-0001" sheetId="4" state="hidden" r:id="rId61"/>
    <sheet name="2.1 APU " sheetId="44" state="hidden" r:id="rId62"/>
    <sheet name="2.3 APU" sheetId="8" state="hidden" r:id="rId63"/>
    <sheet name="2.4 APU" sheetId="9" state="hidden" r:id="rId64"/>
    <sheet name="COT. IBA" sheetId="48" state="hidden" r:id="rId65"/>
    <sheet name="COT. RIO" sheetId="50" state="hidden" r:id="rId66"/>
  </sheets>
  <externalReferences>
    <externalReference r:id="rId67"/>
  </externalReferences>
  <definedNames>
    <definedName name="\v" localSheetId="1" hidden="1">{"'ADV&amp;DP'!$A$4:$C$25"}</definedName>
    <definedName name="\v" localSheetId="0" hidden="1">{"'ADV&amp;DP'!$A$4:$C$25"}</definedName>
    <definedName name="\v" hidden="1">{"'ADV&amp;DP'!$A$4:$C$25"}</definedName>
    <definedName name="_??" localSheetId="1" hidden="1">{"'?????10.27??????'!$Q$16"}</definedName>
    <definedName name="_??" localSheetId="0" hidden="1">{"'?????10.27??????'!$Q$16"}</definedName>
    <definedName name="_??" hidden="1">{"'?????10.27??????'!$Q$16"}</definedName>
    <definedName name="_????" localSheetId="1" hidden="1">{"'?????10.27??????'!$Q$16"}</definedName>
    <definedName name="_????" localSheetId="0" hidden="1">{"'?????10.27??????'!$Q$16"}</definedName>
    <definedName name="_????" hidden="1">{"'?????10.27??????'!$Q$16"}</definedName>
    <definedName name="_?????" localSheetId="1" hidden="1">{"DCF-???",#N/A,TRUE,"???";"DCF-??",#N/A,TRUE,"??";"DCF-??",#N/A,TRUE,"??";"DCF-??",#N/A,TRUE,"??";"DCF-??",#N/A,TRUE,"??";"DCF-??",#N/A,TRUE,"??";"DCF-??",#N/A,TRUE,"??";"DCF-??",#N/A,TRUE,"??";"DCF-??",#N/A,TRUE,"??"}</definedName>
    <definedName name="_?????" localSheetId="0" hidden="1">{"DCF-???",#N/A,TRUE,"???";"DCF-??",#N/A,TRUE,"??";"DCF-??",#N/A,TRUE,"??";"DCF-??",#N/A,TRUE,"??";"DCF-??",#N/A,TRUE,"??";"DCF-??",#N/A,TRUE,"??";"DCF-??",#N/A,TRUE,"??";"DCF-??",#N/A,TRUE,"??";"DCF-??",#N/A,TRUE,"??"}</definedName>
    <definedName name="_?????" hidden="1">{"DCF-???",#N/A,TRUE,"???";"DCF-??",#N/A,TRUE,"??";"DCF-??",#N/A,TRUE,"??";"DCF-??",#N/A,TRUE,"??";"DCF-??",#N/A,TRUE,"??";"DCF-??",#N/A,TRUE,"??";"DCF-??",#N/A,TRUE,"??";"DCF-??",#N/A,TRUE,"??";"DCF-??",#N/A,TRUE,"??"}</definedName>
    <definedName name="_??????" localSheetId="1" hidden="1">{"'?????10.27??????'!$Q$16"}</definedName>
    <definedName name="_??????" localSheetId="0" hidden="1">{"'?????10.27??????'!$Q$16"}</definedName>
    <definedName name="_??????" hidden="1">{"'?????10.27??????'!$Q$16"}</definedName>
    <definedName name="_???????" localSheetId="1" hidden="1">{"'?????10.27??????'!$Q$16"}</definedName>
    <definedName name="_???????" localSheetId="0" hidden="1">{"'?????10.27??????'!$Q$16"}</definedName>
    <definedName name="_???????" hidden="1">{"'?????10.27??????'!$Q$16"}</definedName>
    <definedName name="_??06" localSheetId="1" hidden="1">{"'?????10.27??????'!$Q$16"}</definedName>
    <definedName name="_??06" localSheetId="0" hidden="1">{"'?????10.27??????'!$Q$16"}</definedName>
    <definedName name="_??06" hidden="1">{"'?????10.27??????'!$Q$16"}</definedName>
    <definedName name="_?16??" localSheetId="1" hidden="1">{"'????'!$A$1:$C$37"}</definedName>
    <definedName name="_?16??" localSheetId="0" hidden="1">{"'????'!$A$1:$C$37"}</definedName>
    <definedName name="_?16??" hidden="1">{"'????'!$A$1:$C$37"}</definedName>
    <definedName name="_____________________A2" localSheetId="10" hidden="1">{#N/A,#N/A,FALSE,"Costos Productos 6A";#N/A,#N/A,FALSE,"Costo Unitario Total H-94-12"}</definedName>
    <definedName name="_____________________A2" localSheetId="1" hidden="1">{#N/A,#N/A,FALSE,"Costos Productos 6A";#N/A,#N/A,FALSE,"Costo Unitario Total H-94-12"}</definedName>
    <definedName name="_____________________A2" localSheetId="0" hidden="1">{#N/A,#N/A,FALSE,"Costos Productos 6A";#N/A,#N/A,FALSE,"Costo Unitario Total H-94-12"}</definedName>
    <definedName name="_____________________A2" hidden="1">{#N/A,#N/A,FALSE,"Costos Productos 6A";#N/A,#N/A,FALSE,"Costo Unitario Total H-94-12"}</definedName>
    <definedName name="____________________A2" localSheetId="10" hidden="1">{#N/A,#N/A,FALSE,"Costos Productos 6A";#N/A,#N/A,FALSE,"Costo Unitario Total H-94-12"}</definedName>
    <definedName name="____________________A2" localSheetId="1" hidden="1">{#N/A,#N/A,FALSE,"Costos Productos 6A";#N/A,#N/A,FALSE,"Costo Unitario Total H-94-12"}</definedName>
    <definedName name="____________________A2" localSheetId="0" hidden="1">{#N/A,#N/A,FALSE,"Costos Productos 6A";#N/A,#N/A,FALSE,"Costo Unitario Total H-94-12"}</definedName>
    <definedName name="____________________A2" hidden="1">{#N/A,#N/A,FALSE,"Costos Productos 6A";#N/A,#N/A,FALSE,"Costo Unitario Total H-94-12"}</definedName>
    <definedName name="___________________A2" localSheetId="10" hidden="1">{#N/A,#N/A,FALSE,"Costos Productos 6A";#N/A,#N/A,FALSE,"Costo Unitario Total H-94-12"}</definedName>
    <definedName name="___________________A2" localSheetId="1" hidden="1">{#N/A,#N/A,FALSE,"Costos Productos 6A";#N/A,#N/A,FALSE,"Costo Unitario Total H-94-12"}</definedName>
    <definedName name="___________________A2" localSheetId="0" hidden="1">{#N/A,#N/A,FALSE,"Costos Productos 6A";#N/A,#N/A,FALSE,"Costo Unitario Total H-94-12"}</definedName>
    <definedName name="___________________A2" hidden="1">{#N/A,#N/A,FALSE,"Costos Productos 6A";#N/A,#N/A,FALSE,"Costo Unitario Total H-94-12"}</definedName>
    <definedName name="__________________A2" localSheetId="10" hidden="1">{#N/A,#N/A,FALSE,"Costos Productos 6A";#N/A,#N/A,FALSE,"Costo Unitario Total H-94-12"}</definedName>
    <definedName name="__________________A2" localSheetId="1" hidden="1">{#N/A,#N/A,FALSE,"Costos Productos 6A";#N/A,#N/A,FALSE,"Costo Unitario Total H-94-12"}</definedName>
    <definedName name="__________________A2" localSheetId="0" hidden="1">{#N/A,#N/A,FALSE,"Costos Productos 6A";#N/A,#N/A,FALSE,"Costo Unitario Total H-94-12"}</definedName>
    <definedName name="__________________A2" hidden="1">{#N/A,#N/A,FALSE,"Costos Productos 6A";#N/A,#N/A,FALSE,"Costo Unitario Total H-94-12"}</definedName>
    <definedName name="_________________A2" localSheetId="10" hidden="1">{#N/A,#N/A,FALSE,"Costos Productos 6A";#N/A,#N/A,FALSE,"Costo Unitario Total H-94-12"}</definedName>
    <definedName name="_________________A2" localSheetId="1" hidden="1">{#N/A,#N/A,FALSE,"Costos Productos 6A";#N/A,#N/A,FALSE,"Costo Unitario Total H-94-12"}</definedName>
    <definedName name="_________________A2" localSheetId="0" hidden="1">{#N/A,#N/A,FALSE,"Costos Productos 6A";#N/A,#N/A,FALSE,"Costo Unitario Total H-94-12"}</definedName>
    <definedName name="_________________A2" hidden="1">{#N/A,#N/A,FALSE,"Costos Productos 6A";#N/A,#N/A,FALSE,"Costo Unitario Total H-94-12"}</definedName>
    <definedName name="________________A2" localSheetId="10" hidden="1">{#N/A,#N/A,FALSE,"Costos Productos 6A";#N/A,#N/A,FALSE,"Costo Unitario Total H-94-12"}</definedName>
    <definedName name="________________A2" localSheetId="1" hidden="1">{#N/A,#N/A,FALSE,"Costos Productos 6A";#N/A,#N/A,FALSE,"Costo Unitario Total H-94-12"}</definedName>
    <definedName name="________________A2" localSheetId="0" hidden="1">{#N/A,#N/A,FALSE,"Costos Productos 6A";#N/A,#N/A,FALSE,"Costo Unitario Total H-94-12"}</definedName>
    <definedName name="________________A2" hidden="1">{#N/A,#N/A,FALSE,"Costos Productos 6A";#N/A,#N/A,FALSE,"Costo Unitario Total H-94-12"}</definedName>
    <definedName name="_______________A2" localSheetId="10" hidden="1">{#N/A,#N/A,FALSE,"Costos Productos 6A";#N/A,#N/A,FALSE,"Costo Unitario Total H-94-12"}</definedName>
    <definedName name="_______________A2" localSheetId="1" hidden="1">{#N/A,#N/A,FALSE,"Costos Productos 6A";#N/A,#N/A,FALSE,"Costo Unitario Total H-94-12"}</definedName>
    <definedName name="_______________A2" localSheetId="0" hidden="1">{#N/A,#N/A,FALSE,"Costos Productos 6A";#N/A,#N/A,FALSE,"Costo Unitario Total H-94-12"}</definedName>
    <definedName name="_______________A2" hidden="1">{#N/A,#N/A,FALSE,"Costos Productos 6A";#N/A,#N/A,FALSE,"Costo Unitario Total H-94-12"}</definedName>
    <definedName name="______________A2" localSheetId="10" hidden="1">{#N/A,#N/A,FALSE,"Costos Productos 6A";#N/A,#N/A,FALSE,"Costo Unitario Total H-94-12"}</definedName>
    <definedName name="______________A2" localSheetId="1" hidden="1">{#N/A,#N/A,FALSE,"Costos Productos 6A";#N/A,#N/A,FALSE,"Costo Unitario Total H-94-12"}</definedName>
    <definedName name="______________A2" localSheetId="0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A2" localSheetId="10" hidden="1">{#N/A,#N/A,FALSE,"Costos Productos 6A";#N/A,#N/A,FALSE,"Costo Unitario Total H-94-12"}</definedName>
    <definedName name="_____________A2" localSheetId="1" hidden="1">{#N/A,#N/A,FALSE,"Costos Productos 6A";#N/A,#N/A,FALSE,"Costo Unitario Total H-94-12"}</definedName>
    <definedName name="_____________A2" localSheetId="0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_A2" localSheetId="10" hidden="1">{#N/A,#N/A,FALSE,"Costos Productos 6A";#N/A,#N/A,FALSE,"Costo Unitario Total H-94-12"}</definedName>
    <definedName name="____________A2" localSheetId="1" hidden="1">{#N/A,#N/A,FALSE,"Costos Productos 6A";#N/A,#N/A,FALSE,"Costo Unitario Total H-94-12"}</definedName>
    <definedName name="____________A2" localSheetId="0" hidden="1">{#N/A,#N/A,FALSE,"Costos Productos 6A";#N/A,#N/A,FALSE,"Costo Unitario Total H-94-12"}</definedName>
    <definedName name="____________A2" hidden="1">{#N/A,#N/A,FALSE,"Costos Productos 6A";#N/A,#N/A,FALSE,"Costo Unitario Total H-94-12"}</definedName>
    <definedName name="___________A2" localSheetId="10" hidden="1">{#N/A,#N/A,FALSE,"Costos Productos 6A";#N/A,#N/A,FALSE,"Costo Unitario Total H-94-12"}</definedName>
    <definedName name="___________A2" localSheetId="1" hidden="1">{#N/A,#N/A,FALSE,"Costos Productos 6A";#N/A,#N/A,FALSE,"Costo Unitario Total H-94-12"}</definedName>
    <definedName name="___________A2" localSheetId="0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A2" localSheetId="10" hidden="1">{#N/A,#N/A,FALSE,"Costos Productos 6A";#N/A,#N/A,FALSE,"Costo Unitario Total H-94-12"}</definedName>
    <definedName name="__________A2" localSheetId="1" hidden="1">{#N/A,#N/A,FALSE,"Costos Productos 6A";#N/A,#N/A,FALSE,"Costo Unitario Total H-94-12"}</definedName>
    <definedName name="__________A2" localSheetId="0" hidden="1">{#N/A,#N/A,FALSE,"Costos Productos 6A";#N/A,#N/A,FALSE,"Costo Unitario Total H-94-12"}</definedName>
    <definedName name="__________A2" hidden="1">{#N/A,#N/A,FALSE,"Costos Productos 6A";#N/A,#N/A,FALSE,"Costo Unitario Total H-94-12"}</definedName>
    <definedName name="__________F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A2" localSheetId="10" hidden="1">{#N/A,#N/A,FALSE,"Costos Productos 6A";#N/A,#N/A,FALSE,"Costo Unitario Total H-94-12"}</definedName>
    <definedName name="_________A2" localSheetId="1" hidden="1">{#N/A,#N/A,FALSE,"Costos Productos 6A";#N/A,#N/A,FALSE,"Costo Unitario Total H-94-12"}</definedName>
    <definedName name="_________A2" localSheetId="0" hidden="1">{#N/A,#N/A,FALSE,"Costos Productos 6A";#N/A,#N/A,FALSE,"Costo Unitario Total H-94-12"}</definedName>
    <definedName name="_________A2" hidden="1">{#N/A,#N/A,FALSE,"Costos Productos 6A";#N/A,#N/A,FALSE,"Costo Unitario Total H-94-12"}</definedName>
    <definedName name="_____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key2" localSheetId="10" hidden="1">#REF!</definedName>
    <definedName name="_________key2" hidden="1">#REF!</definedName>
    <definedName name="________A2" localSheetId="10" hidden="1">{#N/A,#N/A,FALSE,"Costos Productos 6A";#N/A,#N/A,FALSE,"Costo Unitario Total H-94-12"}</definedName>
    <definedName name="________A2" localSheetId="1" hidden="1">{#N/A,#N/A,FALSE,"Costos Productos 6A";#N/A,#N/A,FALSE,"Costo Unitario Total H-94-12"}</definedName>
    <definedName name="________A2" localSheetId="0" hidden="1">{#N/A,#N/A,FALSE,"Costos Productos 6A";#N/A,#N/A,FALSE,"Costo Unitario Total H-94-12"}</definedName>
    <definedName name="________A2" hidden="1">{#N/A,#N/A,FALSE,"Costos Productos 6A";#N/A,#N/A,FALSE,"Costo Unitario Total H-94-12"}</definedName>
    <definedName name="____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key2" localSheetId="10" hidden="1">#REF!</definedName>
    <definedName name="________key2" hidden="1">#REF!</definedName>
    <definedName name="________key3" localSheetId="10" hidden="1">#REF!</definedName>
    <definedName name="________key3" hidden="1">#REF!</definedName>
    <definedName name="_____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 localSheetId="0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r" localSheetId="10" hidden="1">{"TAB1",#N/A,TRUE,"GENERAL";"TAB2",#N/A,TRUE,"GENERAL";"TAB3",#N/A,TRUE,"GENERAL";"TAB4",#N/A,TRUE,"GENERAL";"TAB5",#N/A,TRUE,"GENERAL"}</definedName>
    <definedName name="________r" localSheetId="1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0" hidden="1">{"via1",#N/A,TRUE,"general";"via2",#N/A,TRUE,"general";"via3",#N/A,TRUE,"general"}</definedName>
    <definedName name="________r4r" localSheetId="1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a1" localSheetId="10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2" localSheetId="10" hidden="1">{#N/A,#N/A,FALSE,"Costos Productos 6A";#N/A,#N/A,FALSE,"Costo Unitario Total H-94-12"}</definedName>
    <definedName name="_______A2" localSheetId="1" hidden="1">{#N/A,#N/A,FALSE,"Costos Productos 6A";#N/A,#N/A,FALSE,"Costo Unitario Total H-94-12"}</definedName>
    <definedName name="_______A2" localSheetId="0" hidden="1">{#N/A,#N/A,FALSE,"Costos Productos 6A";#N/A,#N/A,FALSE,"Costo Unitario Total H-94-12"}</definedName>
    <definedName name="_______A2" hidden="1">{#N/A,#N/A,FALSE,"Costos Productos 6A";#N/A,#N/A,FALSE,"Costo Unitario Total H-94-12"}</definedName>
    <definedName name="_______a3" localSheetId="10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0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0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0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10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0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0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0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0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0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0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0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0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DF4" hidden="1">#REF!</definedName>
    <definedName name="___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g2" localSheetId="10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0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0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0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0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0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0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0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0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0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0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0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0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0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0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0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10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0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0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0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0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0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0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10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0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0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0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0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0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0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0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0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0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0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0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0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0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0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10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0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0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0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0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0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0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0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0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0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10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0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0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10" hidden="1">{"TAB1",#N/A,TRUE,"GENERAL";"TAB2",#N/A,TRUE,"GENERAL";"TAB3",#N/A,TRUE,"GENERAL";"TAB4",#N/A,TRUE,"GENERAL";"TAB5",#N/A,TRUE,"GENERAL"}</definedName>
    <definedName name="_______r" localSheetId="1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0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10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0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0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0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0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0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0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0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10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0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0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0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0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0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0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0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0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0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0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0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0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0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0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0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0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0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0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0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0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0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0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0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0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0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0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0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0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0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0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0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0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0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0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0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10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0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0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0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0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0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0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0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0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0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0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0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0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0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0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2" localSheetId="10" hidden="1">{#N/A,#N/A,FALSE,"Costos Productos 6A";#N/A,#N/A,FALSE,"Costo Unitario Total H-94-12"}</definedName>
    <definedName name="______A2" localSheetId="1" hidden="1">{#N/A,#N/A,FALSE,"Costos Productos 6A";#N/A,#N/A,FALSE,"Costo Unitario Total H-94-12"}</definedName>
    <definedName name="______A2" localSheetId="0" hidden="1">{#N/A,#N/A,FALSE,"Costos Productos 6A";#N/A,#N/A,FALSE,"Costo Unitario Total H-94-12"}</definedName>
    <definedName name="______A2" hidden="1">{#N/A,#N/A,FALSE,"Costos Productos 6A";#N/A,#N/A,FALSE,"Costo Unitario Total H-94-12"}</definedName>
    <definedName name="______a3" localSheetId="10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10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0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0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10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0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0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0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0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0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0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0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0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DF4" hidden="1">#REF!</definedName>
    <definedName name="__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g2" localSheetId="10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0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0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0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0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0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0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0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0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0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0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0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0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0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0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0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10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0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0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0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0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0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0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10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0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0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0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0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0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0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0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0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0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0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0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0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0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0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10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0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0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ew1" localSheetId="10" hidden="1">{#N/A,#N/A,FALSE,"SMT1";#N/A,#N/A,FALSE,"SMT2";#N/A,#N/A,FALSE,"Summary";#N/A,#N/A,FALSE,"Graphs";#N/A,#N/A,FALSE,"4 Panel"}</definedName>
    <definedName name="______new1" localSheetId="1" hidden="1">{#N/A,#N/A,FALSE,"SMT1";#N/A,#N/A,FALSE,"SMT2";#N/A,#N/A,FALSE,"Summary";#N/A,#N/A,FALSE,"Graphs";#N/A,#N/A,FALSE,"4 Panel"}</definedName>
    <definedName name="______new1" localSheetId="0" hidden="1">{#N/A,#N/A,FALSE,"SMT1";#N/A,#N/A,FALSE,"SMT2";#N/A,#N/A,FALSE,"Summary";#N/A,#N/A,FALSE,"Graphs";#N/A,#N/A,FALSE,"4 Panel"}</definedName>
    <definedName name="______new1" hidden="1">{#N/A,#N/A,FALSE,"SMT1";#N/A,#N/A,FALSE,"SMT2";#N/A,#N/A,FALSE,"Summary";#N/A,#N/A,FALSE,"Graphs";#N/A,#N/A,FALSE,"4 Panel"}</definedName>
    <definedName name="______new10" localSheetId="10" hidden="1">{#N/A,#N/A,FALSE,"SMT1";#N/A,#N/A,FALSE,"SMT2";#N/A,#N/A,FALSE,"Summary";#N/A,#N/A,FALSE,"Graphs";#N/A,#N/A,FALSE,"4 Panel"}</definedName>
    <definedName name="______new10" localSheetId="1" hidden="1">{#N/A,#N/A,FALSE,"SMT1";#N/A,#N/A,FALSE,"SMT2";#N/A,#N/A,FALSE,"Summary";#N/A,#N/A,FALSE,"Graphs";#N/A,#N/A,FALSE,"4 Panel"}</definedName>
    <definedName name="______new10" localSheetId="0" hidden="1">{#N/A,#N/A,FALSE,"SMT1";#N/A,#N/A,FALSE,"SMT2";#N/A,#N/A,FALSE,"Summary";#N/A,#N/A,FALSE,"Graphs";#N/A,#N/A,FALSE,"4 Panel"}</definedName>
    <definedName name="______new10" hidden="1">{#N/A,#N/A,FALSE,"SMT1";#N/A,#N/A,FALSE,"SMT2";#N/A,#N/A,FALSE,"Summary";#N/A,#N/A,FALSE,"Graphs";#N/A,#N/A,FALSE,"4 Panel"}</definedName>
    <definedName name="______new2" localSheetId="10" hidden="1">{"EVA",#N/A,FALSE,"SMT2";#N/A,#N/A,FALSE,"Summary";#N/A,#N/A,FALSE,"Graphs";#N/A,#N/A,FALSE,"4 Panel"}</definedName>
    <definedName name="______new2" localSheetId="1" hidden="1">{"EVA",#N/A,FALSE,"SMT2";#N/A,#N/A,FALSE,"Summary";#N/A,#N/A,FALSE,"Graphs";#N/A,#N/A,FALSE,"4 Panel"}</definedName>
    <definedName name="______new2" localSheetId="0" hidden="1">{"EVA",#N/A,FALSE,"SMT2";#N/A,#N/A,FALSE,"Summary";#N/A,#N/A,FALSE,"Graphs";#N/A,#N/A,FALSE,"4 Panel"}</definedName>
    <definedName name="______new2" hidden="1">{"EVA",#N/A,FALSE,"SMT2";#N/A,#N/A,FALSE,"Summary";#N/A,#N/A,FALSE,"Graphs";#N/A,#N/A,FALSE,"4 Panel"}</definedName>
    <definedName name="______NEW3" localSheetId="10" hidden="1">{#N/A,#N/A,FALSE,"SMT1";#N/A,#N/A,FALSE,"SMT2";#N/A,#N/A,FALSE,"Summary";#N/A,#N/A,FALSE,"Graphs";#N/A,#N/A,FALSE,"4 Panel"}</definedName>
    <definedName name="______NEW3" localSheetId="1" hidden="1">{#N/A,#N/A,FALSE,"SMT1";#N/A,#N/A,FALSE,"SMT2";#N/A,#N/A,FALSE,"Summary";#N/A,#N/A,FALSE,"Graphs";#N/A,#N/A,FALSE,"4 Panel"}</definedName>
    <definedName name="______NEW3" localSheetId="0" hidden="1">{#N/A,#N/A,FALSE,"SMT1";#N/A,#N/A,FALSE,"SMT2";#N/A,#N/A,FALSE,"Summary";#N/A,#N/A,FALSE,"Graphs";#N/A,#N/A,FALSE,"4 Panel"}</definedName>
    <definedName name="______NEW3" hidden="1">{#N/A,#N/A,FALSE,"SMT1";#N/A,#N/A,FALSE,"SMT2";#N/A,#N/A,FALSE,"Summary";#N/A,#N/A,FALSE,"Graphs";#N/A,#N/A,FALSE,"4 Panel"}</definedName>
    <definedName name="______NEW4" localSheetId="10" hidden="1">{#N/A,#N/A,FALSE,"Full";#N/A,#N/A,FALSE,"Half";#N/A,#N/A,FALSE,"Op Expenses";#N/A,#N/A,FALSE,"Cap Charge";#N/A,#N/A,FALSE,"Cost C";#N/A,#N/A,FALSE,"PP&amp;E";#N/A,#N/A,FALSE,"R&amp;D"}</definedName>
    <definedName name="______NEW4" localSheetId="1" hidden="1">{#N/A,#N/A,FALSE,"Full";#N/A,#N/A,FALSE,"Half";#N/A,#N/A,FALSE,"Op Expenses";#N/A,#N/A,FALSE,"Cap Charge";#N/A,#N/A,FALSE,"Cost C";#N/A,#N/A,FALSE,"PP&amp;E";#N/A,#N/A,FALSE,"R&amp;D"}</definedName>
    <definedName name="______NEW4" localSheetId="0" hidden="1">{#N/A,#N/A,FALSE,"Full";#N/A,#N/A,FALSE,"Half";#N/A,#N/A,FALSE,"Op Expenses";#N/A,#N/A,FALSE,"Cap Charge";#N/A,#N/A,FALSE,"Cost C";#N/A,#N/A,FALSE,"PP&amp;E";#N/A,#N/A,FALSE,"R&amp;D"}</definedName>
    <definedName name="______NEW4" hidden="1">{#N/A,#N/A,FALSE,"Full";#N/A,#N/A,FALSE,"Half";#N/A,#N/A,FALSE,"Op Expenses";#N/A,#N/A,FALSE,"Cap Charge";#N/A,#N/A,FALSE,"Cost C";#N/A,#N/A,FALSE,"PP&amp;E";#N/A,#N/A,FALSE,"R&amp;D"}</definedName>
    <definedName name="______no1" localSheetId="10" hidden="1">{#N/A,#N/A,FALSE,"SMT1";#N/A,#N/A,FALSE,"SMT2";#N/A,#N/A,FALSE,"Summary";#N/A,#N/A,FALSE,"Graphs";#N/A,#N/A,FALSE,"4 Panel"}</definedName>
    <definedName name="______no1" localSheetId="1" hidden="1">{#N/A,#N/A,FALSE,"SMT1";#N/A,#N/A,FALSE,"SMT2";#N/A,#N/A,FALSE,"Summary";#N/A,#N/A,FALSE,"Graphs";#N/A,#N/A,FALSE,"4 Panel"}</definedName>
    <definedName name="______no1" localSheetId="0" hidden="1">{#N/A,#N/A,FALSE,"SMT1";#N/A,#N/A,FALSE,"SMT2";#N/A,#N/A,FALSE,"Summary";#N/A,#N/A,FALSE,"Graphs";#N/A,#N/A,FALSE,"4 Panel"}</definedName>
    <definedName name="______no1" hidden="1">{#N/A,#N/A,FALSE,"SMT1";#N/A,#N/A,FALSE,"SMT2";#N/A,#N/A,FALSE,"Summary";#N/A,#N/A,FALSE,"Graphs";#N/A,#N/A,FALSE,"4 Panel"}</definedName>
    <definedName name="______no10" localSheetId="10" hidden="1">{#N/A,#N/A,FALSE,"SMT1";#N/A,#N/A,FALSE,"SMT2";#N/A,#N/A,FALSE,"Summary";#N/A,#N/A,FALSE,"Graphs";#N/A,#N/A,FALSE,"4 Panel"}</definedName>
    <definedName name="______no10" localSheetId="1" hidden="1">{#N/A,#N/A,FALSE,"SMT1";#N/A,#N/A,FALSE,"SMT2";#N/A,#N/A,FALSE,"Summary";#N/A,#N/A,FALSE,"Graphs";#N/A,#N/A,FALSE,"4 Panel"}</definedName>
    <definedName name="______no10" localSheetId="0" hidden="1">{#N/A,#N/A,FALSE,"SMT1";#N/A,#N/A,FALSE,"SMT2";#N/A,#N/A,FALSE,"Summary";#N/A,#N/A,FALSE,"Graphs";#N/A,#N/A,FALSE,"4 Panel"}</definedName>
    <definedName name="______no10" hidden="1">{#N/A,#N/A,FALSE,"SMT1";#N/A,#N/A,FALSE,"SMT2";#N/A,#N/A,FALSE,"Summary";#N/A,#N/A,FALSE,"Graphs";#N/A,#N/A,FALSE,"4 Panel"}</definedName>
    <definedName name="______no11" localSheetId="10" hidden="1">{#N/A,#N/A,FALSE,"Full";#N/A,#N/A,FALSE,"Half";#N/A,#N/A,FALSE,"Op Expenses";#N/A,#N/A,FALSE,"Cap Charge";#N/A,#N/A,FALSE,"Cost C";#N/A,#N/A,FALSE,"PP&amp;E";#N/A,#N/A,FALSE,"R&amp;D"}</definedName>
    <definedName name="______no11" localSheetId="1" hidden="1">{#N/A,#N/A,FALSE,"Full";#N/A,#N/A,FALSE,"Half";#N/A,#N/A,FALSE,"Op Expenses";#N/A,#N/A,FALSE,"Cap Charge";#N/A,#N/A,FALSE,"Cost C";#N/A,#N/A,FALSE,"PP&amp;E";#N/A,#N/A,FALSE,"R&amp;D"}</definedName>
    <definedName name="______no11" localSheetId="0" hidden="1">{#N/A,#N/A,FALSE,"Full";#N/A,#N/A,FALSE,"Half";#N/A,#N/A,FALSE,"Op Expenses";#N/A,#N/A,FALSE,"Cap Charge";#N/A,#N/A,FALSE,"Cost C";#N/A,#N/A,FALSE,"PP&amp;E";#N/A,#N/A,FALSE,"R&amp;D"}</definedName>
    <definedName name="______no11" hidden="1">{#N/A,#N/A,FALSE,"Full";#N/A,#N/A,FALSE,"Half";#N/A,#N/A,FALSE,"Op Expenses";#N/A,#N/A,FALSE,"Cap Charge";#N/A,#N/A,FALSE,"Cost C";#N/A,#N/A,FALSE,"PP&amp;E";#N/A,#N/A,FALSE,"R&amp;D"}</definedName>
    <definedName name="______no12" localSheetId="10" hidden="1">{#N/A,#N/A,FALSE,"SMT1";#N/A,#N/A,FALSE,"SMT2";#N/A,#N/A,FALSE,"Summary";#N/A,#N/A,FALSE,"Graphs";#N/A,#N/A,FALSE,"4 Panel"}</definedName>
    <definedName name="______no12" localSheetId="1" hidden="1">{#N/A,#N/A,FALSE,"SMT1";#N/A,#N/A,FALSE,"SMT2";#N/A,#N/A,FALSE,"Summary";#N/A,#N/A,FALSE,"Graphs";#N/A,#N/A,FALSE,"4 Panel"}</definedName>
    <definedName name="______no12" localSheetId="0" hidden="1">{#N/A,#N/A,FALSE,"SMT1";#N/A,#N/A,FALSE,"SMT2";#N/A,#N/A,FALSE,"Summary";#N/A,#N/A,FALSE,"Graphs";#N/A,#N/A,FALSE,"4 Panel"}</definedName>
    <definedName name="______no12" hidden="1">{#N/A,#N/A,FALSE,"SMT1";#N/A,#N/A,FALSE,"SMT2";#N/A,#N/A,FALSE,"Summary";#N/A,#N/A,FALSE,"Graphs";#N/A,#N/A,FALSE,"4 Panel"}</definedName>
    <definedName name="______no13" localSheetId="10" hidden="1">{"EVA",#N/A,FALSE,"SMT2";#N/A,#N/A,FALSE,"Summary";#N/A,#N/A,FALSE,"Graphs";#N/A,#N/A,FALSE,"4 Panel"}</definedName>
    <definedName name="______no13" localSheetId="1" hidden="1">{"EVA",#N/A,FALSE,"SMT2";#N/A,#N/A,FALSE,"Summary";#N/A,#N/A,FALSE,"Graphs";#N/A,#N/A,FALSE,"4 Panel"}</definedName>
    <definedName name="______no13" localSheetId="0" hidden="1">{"EVA",#N/A,FALSE,"SMT2";#N/A,#N/A,FALSE,"Summary";#N/A,#N/A,FALSE,"Graphs";#N/A,#N/A,FALSE,"4 Panel"}</definedName>
    <definedName name="______no13" hidden="1">{"EVA",#N/A,FALSE,"SMT2";#N/A,#N/A,FALSE,"Summary";#N/A,#N/A,FALSE,"Graphs";#N/A,#N/A,FALSE,"4 Panel"}</definedName>
    <definedName name="______no14" localSheetId="10" hidden="1">{#N/A,#N/A,FALSE,"Full";#N/A,#N/A,FALSE,"Half";#N/A,#N/A,FALSE,"Op Expenses";#N/A,#N/A,FALSE,"Cap Charge";#N/A,#N/A,FALSE,"Cost C";#N/A,#N/A,FALSE,"PP&amp;E";#N/A,#N/A,FALSE,"R&amp;D"}</definedName>
    <definedName name="______no14" localSheetId="1" hidden="1">{#N/A,#N/A,FALSE,"Full";#N/A,#N/A,FALSE,"Half";#N/A,#N/A,FALSE,"Op Expenses";#N/A,#N/A,FALSE,"Cap Charge";#N/A,#N/A,FALSE,"Cost C";#N/A,#N/A,FALSE,"PP&amp;E";#N/A,#N/A,FALSE,"R&amp;D"}</definedName>
    <definedName name="______no14" localSheetId="0" hidden="1">{#N/A,#N/A,FALSE,"Full";#N/A,#N/A,FALSE,"Half";#N/A,#N/A,FALSE,"Op Expenses";#N/A,#N/A,FALSE,"Cap Charge";#N/A,#N/A,FALSE,"Cost C";#N/A,#N/A,FALSE,"PP&amp;E";#N/A,#N/A,FALSE,"R&amp;D"}</definedName>
    <definedName name="______no14" hidden="1">{#N/A,#N/A,FALSE,"Full";#N/A,#N/A,FALSE,"Half";#N/A,#N/A,FALSE,"Op Expenses";#N/A,#N/A,FALSE,"Cap Charge";#N/A,#N/A,FALSE,"Cost C";#N/A,#N/A,FALSE,"PP&amp;E";#N/A,#N/A,FALSE,"R&amp;D"}</definedName>
    <definedName name="______no2" localSheetId="10" hidden="1">{"EVA",#N/A,FALSE,"SMT2";#N/A,#N/A,FALSE,"Summary";#N/A,#N/A,FALSE,"Graphs";#N/A,#N/A,FALSE,"4 Panel"}</definedName>
    <definedName name="______no2" localSheetId="1" hidden="1">{"EVA",#N/A,FALSE,"SMT2";#N/A,#N/A,FALSE,"Summary";#N/A,#N/A,FALSE,"Graphs";#N/A,#N/A,FALSE,"4 Panel"}</definedName>
    <definedName name="______no2" localSheetId="0" hidden="1">{"EVA",#N/A,FALSE,"SMT2";#N/A,#N/A,FALSE,"Summary";#N/A,#N/A,FALSE,"Graphs";#N/A,#N/A,FALSE,"4 Panel"}</definedName>
    <definedName name="______no2" hidden="1">{"EVA",#N/A,FALSE,"SMT2";#N/A,#N/A,FALSE,"Summary";#N/A,#N/A,FALSE,"Graphs";#N/A,#N/A,FALSE,"4 Panel"}</definedName>
    <definedName name="______no3" localSheetId="10" hidden="1">{#N/A,#N/A,FALSE,"SMT1";#N/A,#N/A,FALSE,"SMT2";#N/A,#N/A,FALSE,"Summary";#N/A,#N/A,FALSE,"Graphs";#N/A,#N/A,FALSE,"4 Panel"}</definedName>
    <definedName name="______no3" localSheetId="1" hidden="1">{#N/A,#N/A,FALSE,"SMT1";#N/A,#N/A,FALSE,"SMT2";#N/A,#N/A,FALSE,"Summary";#N/A,#N/A,FALSE,"Graphs";#N/A,#N/A,FALSE,"4 Panel"}</definedName>
    <definedName name="______no3" localSheetId="0" hidden="1">{#N/A,#N/A,FALSE,"SMT1";#N/A,#N/A,FALSE,"SMT2";#N/A,#N/A,FALSE,"Summary";#N/A,#N/A,FALSE,"Graphs";#N/A,#N/A,FALSE,"4 Panel"}</definedName>
    <definedName name="______no3" hidden="1">{#N/A,#N/A,FALSE,"SMT1";#N/A,#N/A,FALSE,"SMT2";#N/A,#N/A,FALSE,"Summary";#N/A,#N/A,FALSE,"Graphs";#N/A,#N/A,FALSE,"4 Panel"}</definedName>
    <definedName name="______no4" localSheetId="10" hidden="1">{#N/A,#N/A,FALSE,"SMT1";#N/A,#N/A,FALSE,"SMT2";#N/A,#N/A,FALSE,"Summary";#N/A,#N/A,FALSE,"Graphs";#N/A,#N/A,FALSE,"4 Panel"}</definedName>
    <definedName name="______no4" localSheetId="1" hidden="1">{#N/A,#N/A,FALSE,"SMT1";#N/A,#N/A,FALSE,"SMT2";#N/A,#N/A,FALSE,"Summary";#N/A,#N/A,FALSE,"Graphs";#N/A,#N/A,FALSE,"4 Panel"}</definedName>
    <definedName name="______no4" localSheetId="0" hidden="1">{#N/A,#N/A,FALSE,"SMT1";#N/A,#N/A,FALSE,"SMT2";#N/A,#N/A,FALSE,"Summary";#N/A,#N/A,FALSE,"Graphs";#N/A,#N/A,FALSE,"4 Panel"}</definedName>
    <definedName name="______no4" hidden="1">{#N/A,#N/A,FALSE,"SMT1";#N/A,#N/A,FALSE,"SMT2";#N/A,#N/A,FALSE,"Summary";#N/A,#N/A,FALSE,"Graphs";#N/A,#N/A,FALSE,"4 Panel"}</definedName>
    <definedName name="______no5" localSheetId="10" hidden="1">{#N/A,#N/A,FALSE,"Full";#N/A,#N/A,FALSE,"Half";#N/A,#N/A,FALSE,"Op Expenses";#N/A,#N/A,FALSE,"Cap Charge";#N/A,#N/A,FALSE,"Cost C";#N/A,#N/A,FALSE,"PP&amp;E";#N/A,#N/A,FALSE,"R&amp;D"}</definedName>
    <definedName name="______no5" localSheetId="1" hidden="1">{#N/A,#N/A,FALSE,"Full";#N/A,#N/A,FALSE,"Half";#N/A,#N/A,FALSE,"Op Expenses";#N/A,#N/A,FALSE,"Cap Charge";#N/A,#N/A,FALSE,"Cost C";#N/A,#N/A,FALSE,"PP&amp;E";#N/A,#N/A,FALSE,"R&amp;D"}</definedName>
    <definedName name="______no5" localSheetId="0" hidden="1">{#N/A,#N/A,FALSE,"Full";#N/A,#N/A,FALSE,"Half";#N/A,#N/A,FALSE,"Op Expenses";#N/A,#N/A,FALSE,"Cap Charge";#N/A,#N/A,FALSE,"Cost C";#N/A,#N/A,FALSE,"PP&amp;E";#N/A,#N/A,FALSE,"R&amp;D"}</definedName>
    <definedName name="______no5" hidden="1">{#N/A,#N/A,FALSE,"Full";#N/A,#N/A,FALSE,"Half";#N/A,#N/A,FALSE,"Op Expenses";#N/A,#N/A,FALSE,"Cap Charge";#N/A,#N/A,FALSE,"Cost C";#N/A,#N/A,FALSE,"PP&amp;E";#N/A,#N/A,FALSE,"R&amp;D"}</definedName>
    <definedName name="______no6" localSheetId="10" hidden="1">{"EVA",#N/A,FALSE,"SMT2";#N/A,#N/A,FALSE,"Summary";#N/A,#N/A,FALSE,"Graphs";#N/A,#N/A,FALSE,"4 Panel"}</definedName>
    <definedName name="______no6" localSheetId="1" hidden="1">{"EVA",#N/A,FALSE,"SMT2";#N/A,#N/A,FALSE,"Summary";#N/A,#N/A,FALSE,"Graphs";#N/A,#N/A,FALSE,"4 Panel"}</definedName>
    <definedName name="______no6" localSheetId="0" hidden="1">{"EVA",#N/A,FALSE,"SMT2";#N/A,#N/A,FALSE,"Summary";#N/A,#N/A,FALSE,"Graphs";#N/A,#N/A,FALSE,"4 Panel"}</definedName>
    <definedName name="______no6" hidden="1">{"EVA",#N/A,FALSE,"SMT2";#N/A,#N/A,FALSE,"Summary";#N/A,#N/A,FALSE,"Graphs";#N/A,#N/A,FALSE,"4 Panel"}</definedName>
    <definedName name="______no7" localSheetId="10" hidden="1">{"EVA",#N/A,FALSE,"SMT2";#N/A,#N/A,FALSE,"Summary";#N/A,#N/A,FALSE,"Graphs";#N/A,#N/A,FALSE,"4 Panel"}</definedName>
    <definedName name="______no7" localSheetId="1" hidden="1">{"EVA",#N/A,FALSE,"SMT2";#N/A,#N/A,FALSE,"Summary";#N/A,#N/A,FALSE,"Graphs";#N/A,#N/A,FALSE,"4 Panel"}</definedName>
    <definedName name="______no7" localSheetId="0" hidden="1">{"EVA",#N/A,FALSE,"SMT2";#N/A,#N/A,FALSE,"Summary";#N/A,#N/A,FALSE,"Graphs";#N/A,#N/A,FALSE,"4 Panel"}</definedName>
    <definedName name="______no7" hidden="1">{"EVA",#N/A,FALSE,"SMT2";#N/A,#N/A,FALSE,"Summary";#N/A,#N/A,FALSE,"Graphs";#N/A,#N/A,FALSE,"4 Panel"}</definedName>
    <definedName name="______no8" localSheetId="10" hidden="1">{"EVA",#N/A,FALSE,"SMT2";#N/A,#N/A,FALSE,"Summary";#N/A,#N/A,FALSE,"Graphs";#N/A,#N/A,FALSE,"4 Panel"}</definedName>
    <definedName name="______no8" localSheetId="1" hidden="1">{"EVA",#N/A,FALSE,"SMT2";#N/A,#N/A,FALSE,"Summary";#N/A,#N/A,FALSE,"Graphs";#N/A,#N/A,FALSE,"4 Panel"}</definedName>
    <definedName name="______no8" localSheetId="0" hidden="1">{"EVA",#N/A,FALSE,"SMT2";#N/A,#N/A,FALSE,"Summary";#N/A,#N/A,FALSE,"Graphs";#N/A,#N/A,FALSE,"4 Panel"}</definedName>
    <definedName name="______no8" hidden="1">{"EVA",#N/A,FALSE,"SMT2";#N/A,#N/A,FALSE,"Summary";#N/A,#N/A,FALSE,"Graphs";#N/A,#N/A,FALSE,"4 Panel"}</definedName>
    <definedName name="______no9" localSheetId="10" hidden="1">{"EVA",#N/A,FALSE,"SMT2";#N/A,#N/A,FALSE,"Summary";#N/A,#N/A,FALSE,"Graphs";#N/A,#N/A,FALSE,"4 Panel"}</definedName>
    <definedName name="______no9" localSheetId="1" hidden="1">{"EVA",#N/A,FALSE,"SMT2";#N/A,#N/A,FALSE,"Summary";#N/A,#N/A,FALSE,"Graphs";#N/A,#N/A,FALSE,"4 Panel"}</definedName>
    <definedName name="______no9" localSheetId="0" hidden="1">{"EVA",#N/A,FALSE,"SMT2";#N/A,#N/A,FALSE,"Summary";#N/A,#N/A,FALSE,"Graphs";#N/A,#N/A,FALSE,"4 Panel"}</definedName>
    <definedName name="______no9" hidden="1">{"EVA",#N/A,FALSE,"SMT2";#N/A,#N/A,FALSE,"Summary";#N/A,#N/A,FALSE,"Graphs";#N/A,#N/A,FALSE,"4 Panel"}</definedName>
    <definedName name="______nyn7" localSheetId="10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 localSheetId="0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4" localSheetId="10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0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0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0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0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0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10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0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0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10" hidden="1">{"TAB1",#N/A,TRUE,"GENERAL";"TAB2",#N/A,TRUE,"GENERAL";"TAB3",#N/A,TRUE,"GENERAL";"TAB4",#N/A,TRUE,"GENERAL";"TAB5",#N/A,TRUE,"GENERAL"}</definedName>
    <definedName name="______r" localSheetId="1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0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10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0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0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0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0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0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0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0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10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0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0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0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0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0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0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0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0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0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0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0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0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0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0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0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0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0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10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0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0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0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0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0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0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0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0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10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0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0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0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0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0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0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0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0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0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0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0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0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0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0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0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0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0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0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0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0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0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0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10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2" localSheetId="10" hidden="1">{#N/A,#N/A,FALSE,"Costos Productos 6A";#N/A,#N/A,FALSE,"Costo Unitario Total H-94-12"}</definedName>
    <definedName name="_____A2" localSheetId="1" hidden="1">{#N/A,#N/A,FALSE,"Costos Productos 6A";#N/A,#N/A,FALSE,"Costo Unitario Total H-94-12"}</definedName>
    <definedName name="_____A2" localSheetId="0" hidden="1">{#N/A,#N/A,FALSE,"Costos Productos 6A";#N/A,#N/A,FALSE,"Costo Unitario Total H-94-12"}</definedName>
    <definedName name="_____A2" hidden="1">{#N/A,#N/A,FALSE,"Costos Productos 6A";#N/A,#N/A,FALSE,"Costo Unitario Total H-94-12"}</definedName>
    <definedName name="_____a3" localSheetId="10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10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0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0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10" hidden="1">{#N/A,#N/A,TRUE,"INGENIERIA";#N/A,#N/A,TRUE,"COMPRAS";#N/A,#N/A,TRUE,"DIRECCION";#N/A,#N/A,TRUE,"RESUMEN"}</definedName>
    <definedName name="_____AAS1" localSheetId="1" hidden="1">{#N/A,#N/A,TRUE,"INGENIERIA";#N/A,#N/A,TRUE,"COMPRAS";#N/A,#N/A,TRUE,"DIRECCION";#N/A,#N/A,TRUE,"RESUMEN"}</definedName>
    <definedName name="_____AAS1" localSheetId="0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10" hidden="1">{#N/A,#N/A,TRUE,"1842CWN0"}</definedName>
    <definedName name="_____ABC1" localSheetId="1" hidden="1">{#N/A,#N/A,TRUE,"1842CWN0"}</definedName>
    <definedName name="_____ABC1" localSheetId="0" hidden="1">{#N/A,#N/A,TRUE,"1842CWN0"}</definedName>
    <definedName name="_____ABC1" hidden="1">{#N/A,#N/A,TRUE,"1842CWN0"}</definedName>
    <definedName name="_____abc2" localSheetId="10" hidden="1">{#N/A,#N/A,TRUE,"1842CWN0"}</definedName>
    <definedName name="_____abc2" localSheetId="1" hidden="1">{#N/A,#N/A,TRUE,"1842CWN0"}</definedName>
    <definedName name="_____abc2" localSheetId="0" hidden="1">{#N/A,#N/A,TRUE,"1842CWN0"}</definedName>
    <definedName name="_____abc2" hidden="1">{#N/A,#N/A,TRUE,"1842CWN0"}</definedName>
    <definedName name="_____b2" localSheetId="10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0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0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0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0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0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0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0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0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DF4" hidden="1">#REF!</definedName>
    <definedName name="_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g2" localSheetId="10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0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0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0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0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0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0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0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0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0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0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0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0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0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0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0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10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0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0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0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0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0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0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10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0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0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0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0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0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0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0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0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0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0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0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0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0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0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10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0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0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ew1" localSheetId="10" hidden="1">{#N/A,#N/A,FALSE,"SMT1";#N/A,#N/A,FALSE,"SMT2";#N/A,#N/A,FALSE,"Summary";#N/A,#N/A,FALSE,"Graphs";#N/A,#N/A,FALSE,"4 Panel"}</definedName>
    <definedName name="_____new1" localSheetId="1" hidden="1">{#N/A,#N/A,FALSE,"SMT1";#N/A,#N/A,FALSE,"SMT2";#N/A,#N/A,FALSE,"Summary";#N/A,#N/A,FALSE,"Graphs";#N/A,#N/A,FALSE,"4 Panel"}</definedName>
    <definedName name="_____new1" localSheetId="0" hidden="1">{#N/A,#N/A,FALSE,"SMT1";#N/A,#N/A,FALSE,"SMT2";#N/A,#N/A,FALSE,"Summary";#N/A,#N/A,FALSE,"Graphs";#N/A,#N/A,FALSE,"4 Panel"}</definedName>
    <definedName name="_____new1" hidden="1">{#N/A,#N/A,FALSE,"SMT1";#N/A,#N/A,FALSE,"SMT2";#N/A,#N/A,FALSE,"Summary";#N/A,#N/A,FALSE,"Graphs";#N/A,#N/A,FALSE,"4 Panel"}</definedName>
    <definedName name="_____new10" localSheetId="10" hidden="1">{#N/A,#N/A,FALSE,"SMT1";#N/A,#N/A,FALSE,"SMT2";#N/A,#N/A,FALSE,"Summary";#N/A,#N/A,FALSE,"Graphs";#N/A,#N/A,FALSE,"4 Panel"}</definedName>
    <definedName name="_____new10" localSheetId="1" hidden="1">{#N/A,#N/A,FALSE,"SMT1";#N/A,#N/A,FALSE,"SMT2";#N/A,#N/A,FALSE,"Summary";#N/A,#N/A,FALSE,"Graphs";#N/A,#N/A,FALSE,"4 Panel"}</definedName>
    <definedName name="_____new10" localSheetId="0" hidden="1">{#N/A,#N/A,FALSE,"SMT1";#N/A,#N/A,FALSE,"SMT2";#N/A,#N/A,FALSE,"Summary";#N/A,#N/A,FALSE,"Graphs";#N/A,#N/A,FALSE,"4 Panel"}</definedName>
    <definedName name="_____new10" hidden="1">{#N/A,#N/A,FALSE,"SMT1";#N/A,#N/A,FALSE,"SMT2";#N/A,#N/A,FALSE,"Summary";#N/A,#N/A,FALSE,"Graphs";#N/A,#N/A,FALSE,"4 Panel"}</definedName>
    <definedName name="_____new2" localSheetId="10" hidden="1">{"EVA",#N/A,FALSE,"SMT2";#N/A,#N/A,FALSE,"Summary";#N/A,#N/A,FALSE,"Graphs";#N/A,#N/A,FALSE,"4 Panel"}</definedName>
    <definedName name="_____new2" localSheetId="1" hidden="1">{"EVA",#N/A,FALSE,"SMT2";#N/A,#N/A,FALSE,"Summary";#N/A,#N/A,FALSE,"Graphs";#N/A,#N/A,FALSE,"4 Panel"}</definedName>
    <definedName name="_____new2" localSheetId="0" hidden="1">{"EVA",#N/A,FALSE,"SMT2";#N/A,#N/A,FALSE,"Summary";#N/A,#N/A,FALSE,"Graphs";#N/A,#N/A,FALSE,"4 Panel"}</definedName>
    <definedName name="_____new2" hidden="1">{"EVA",#N/A,FALSE,"SMT2";#N/A,#N/A,FALSE,"Summary";#N/A,#N/A,FALSE,"Graphs";#N/A,#N/A,FALSE,"4 Panel"}</definedName>
    <definedName name="_____NEW3" localSheetId="10" hidden="1">{#N/A,#N/A,FALSE,"SMT1";#N/A,#N/A,FALSE,"SMT2";#N/A,#N/A,FALSE,"Summary";#N/A,#N/A,FALSE,"Graphs";#N/A,#N/A,FALSE,"4 Panel"}</definedName>
    <definedName name="_____NEW3" localSheetId="1" hidden="1">{#N/A,#N/A,FALSE,"SMT1";#N/A,#N/A,FALSE,"SMT2";#N/A,#N/A,FALSE,"Summary";#N/A,#N/A,FALSE,"Graphs";#N/A,#N/A,FALSE,"4 Panel"}</definedName>
    <definedName name="_____NEW3" localSheetId="0" hidden="1">{#N/A,#N/A,FALSE,"SMT1";#N/A,#N/A,FALSE,"SMT2";#N/A,#N/A,FALSE,"Summary";#N/A,#N/A,FALSE,"Graphs";#N/A,#N/A,FALSE,"4 Panel"}</definedName>
    <definedName name="_____NEW3" hidden="1">{#N/A,#N/A,FALSE,"SMT1";#N/A,#N/A,FALSE,"SMT2";#N/A,#N/A,FALSE,"Summary";#N/A,#N/A,FALSE,"Graphs";#N/A,#N/A,FALSE,"4 Panel"}</definedName>
    <definedName name="_____NEW4" localSheetId="10" hidden="1">{#N/A,#N/A,FALSE,"Full";#N/A,#N/A,FALSE,"Half";#N/A,#N/A,FALSE,"Op Expenses";#N/A,#N/A,FALSE,"Cap Charge";#N/A,#N/A,FALSE,"Cost C";#N/A,#N/A,FALSE,"PP&amp;E";#N/A,#N/A,FALSE,"R&amp;D"}</definedName>
    <definedName name="_____NEW4" localSheetId="1" hidden="1">{#N/A,#N/A,FALSE,"Full";#N/A,#N/A,FALSE,"Half";#N/A,#N/A,FALSE,"Op Expenses";#N/A,#N/A,FALSE,"Cap Charge";#N/A,#N/A,FALSE,"Cost C";#N/A,#N/A,FALSE,"PP&amp;E";#N/A,#N/A,FALSE,"R&amp;D"}</definedName>
    <definedName name="_____NEW4" localSheetId="0" hidden="1">{#N/A,#N/A,FALSE,"Full";#N/A,#N/A,FALSE,"Half";#N/A,#N/A,FALSE,"Op Expenses";#N/A,#N/A,FALSE,"Cap Charge";#N/A,#N/A,FALSE,"Cost C";#N/A,#N/A,FALSE,"PP&amp;E";#N/A,#N/A,FALSE,"R&amp;D"}</definedName>
    <definedName name="_____NEW4" hidden="1">{#N/A,#N/A,FALSE,"Full";#N/A,#N/A,FALSE,"Half";#N/A,#N/A,FALSE,"Op Expenses";#N/A,#N/A,FALSE,"Cap Charge";#N/A,#N/A,FALSE,"Cost C";#N/A,#N/A,FALSE,"PP&amp;E";#N/A,#N/A,FALSE,"R&amp;D"}</definedName>
    <definedName name="_____no1" localSheetId="10" hidden="1">{#N/A,#N/A,FALSE,"SMT1";#N/A,#N/A,FALSE,"SMT2";#N/A,#N/A,FALSE,"Summary";#N/A,#N/A,FALSE,"Graphs";#N/A,#N/A,FALSE,"4 Panel"}</definedName>
    <definedName name="_____no1" localSheetId="1" hidden="1">{#N/A,#N/A,FALSE,"SMT1";#N/A,#N/A,FALSE,"SMT2";#N/A,#N/A,FALSE,"Summary";#N/A,#N/A,FALSE,"Graphs";#N/A,#N/A,FALSE,"4 Panel"}</definedName>
    <definedName name="_____no1" localSheetId="0" hidden="1">{#N/A,#N/A,FALSE,"SMT1";#N/A,#N/A,FALSE,"SMT2";#N/A,#N/A,FALSE,"Summary";#N/A,#N/A,FALSE,"Graphs";#N/A,#N/A,FALSE,"4 Panel"}</definedName>
    <definedName name="_____no1" hidden="1">{#N/A,#N/A,FALSE,"SMT1";#N/A,#N/A,FALSE,"SMT2";#N/A,#N/A,FALSE,"Summary";#N/A,#N/A,FALSE,"Graphs";#N/A,#N/A,FALSE,"4 Panel"}</definedName>
    <definedName name="_____no10" localSheetId="10" hidden="1">{#N/A,#N/A,FALSE,"SMT1";#N/A,#N/A,FALSE,"SMT2";#N/A,#N/A,FALSE,"Summary";#N/A,#N/A,FALSE,"Graphs";#N/A,#N/A,FALSE,"4 Panel"}</definedName>
    <definedName name="_____no10" localSheetId="1" hidden="1">{#N/A,#N/A,FALSE,"SMT1";#N/A,#N/A,FALSE,"SMT2";#N/A,#N/A,FALSE,"Summary";#N/A,#N/A,FALSE,"Graphs";#N/A,#N/A,FALSE,"4 Panel"}</definedName>
    <definedName name="_____no10" localSheetId="0" hidden="1">{#N/A,#N/A,FALSE,"SMT1";#N/A,#N/A,FALSE,"SMT2";#N/A,#N/A,FALSE,"Summary";#N/A,#N/A,FALSE,"Graphs";#N/A,#N/A,FALSE,"4 Panel"}</definedName>
    <definedName name="_____no10" hidden="1">{#N/A,#N/A,FALSE,"SMT1";#N/A,#N/A,FALSE,"SMT2";#N/A,#N/A,FALSE,"Summary";#N/A,#N/A,FALSE,"Graphs";#N/A,#N/A,FALSE,"4 Panel"}</definedName>
    <definedName name="_____no11" localSheetId="10" hidden="1">{#N/A,#N/A,FALSE,"Full";#N/A,#N/A,FALSE,"Half";#N/A,#N/A,FALSE,"Op Expenses";#N/A,#N/A,FALSE,"Cap Charge";#N/A,#N/A,FALSE,"Cost C";#N/A,#N/A,FALSE,"PP&amp;E";#N/A,#N/A,FALSE,"R&amp;D"}</definedName>
    <definedName name="_____no11" localSheetId="1" hidden="1">{#N/A,#N/A,FALSE,"Full";#N/A,#N/A,FALSE,"Half";#N/A,#N/A,FALSE,"Op Expenses";#N/A,#N/A,FALSE,"Cap Charge";#N/A,#N/A,FALSE,"Cost C";#N/A,#N/A,FALSE,"PP&amp;E";#N/A,#N/A,FALSE,"R&amp;D"}</definedName>
    <definedName name="_____no11" localSheetId="0" hidden="1">{#N/A,#N/A,FALSE,"Full";#N/A,#N/A,FALSE,"Half";#N/A,#N/A,FALSE,"Op Expenses";#N/A,#N/A,FALSE,"Cap Charge";#N/A,#N/A,FALSE,"Cost C";#N/A,#N/A,FALSE,"PP&amp;E";#N/A,#N/A,FALSE,"R&amp;D"}</definedName>
    <definedName name="_____no11" hidden="1">{#N/A,#N/A,FALSE,"Full";#N/A,#N/A,FALSE,"Half";#N/A,#N/A,FALSE,"Op Expenses";#N/A,#N/A,FALSE,"Cap Charge";#N/A,#N/A,FALSE,"Cost C";#N/A,#N/A,FALSE,"PP&amp;E";#N/A,#N/A,FALSE,"R&amp;D"}</definedName>
    <definedName name="_____no12" localSheetId="10" hidden="1">{#N/A,#N/A,FALSE,"SMT1";#N/A,#N/A,FALSE,"SMT2";#N/A,#N/A,FALSE,"Summary";#N/A,#N/A,FALSE,"Graphs";#N/A,#N/A,FALSE,"4 Panel"}</definedName>
    <definedName name="_____no12" localSheetId="1" hidden="1">{#N/A,#N/A,FALSE,"SMT1";#N/A,#N/A,FALSE,"SMT2";#N/A,#N/A,FALSE,"Summary";#N/A,#N/A,FALSE,"Graphs";#N/A,#N/A,FALSE,"4 Panel"}</definedName>
    <definedName name="_____no12" localSheetId="0" hidden="1">{#N/A,#N/A,FALSE,"SMT1";#N/A,#N/A,FALSE,"SMT2";#N/A,#N/A,FALSE,"Summary";#N/A,#N/A,FALSE,"Graphs";#N/A,#N/A,FALSE,"4 Panel"}</definedName>
    <definedName name="_____no12" hidden="1">{#N/A,#N/A,FALSE,"SMT1";#N/A,#N/A,FALSE,"SMT2";#N/A,#N/A,FALSE,"Summary";#N/A,#N/A,FALSE,"Graphs";#N/A,#N/A,FALSE,"4 Panel"}</definedName>
    <definedName name="_____no13" localSheetId="10" hidden="1">{"EVA",#N/A,FALSE,"SMT2";#N/A,#N/A,FALSE,"Summary";#N/A,#N/A,FALSE,"Graphs";#N/A,#N/A,FALSE,"4 Panel"}</definedName>
    <definedName name="_____no13" localSheetId="1" hidden="1">{"EVA",#N/A,FALSE,"SMT2";#N/A,#N/A,FALSE,"Summary";#N/A,#N/A,FALSE,"Graphs";#N/A,#N/A,FALSE,"4 Panel"}</definedName>
    <definedName name="_____no13" localSheetId="0" hidden="1">{"EVA",#N/A,FALSE,"SMT2";#N/A,#N/A,FALSE,"Summary";#N/A,#N/A,FALSE,"Graphs";#N/A,#N/A,FALSE,"4 Panel"}</definedName>
    <definedName name="_____no13" hidden="1">{"EVA",#N/A,FALSE,"SMT2";#N/A,#N/A,FALSE,"Summary";#N/A,#N/A,FALSE,"Graphs";#N/A,#N/A,FALSE,"4 Panel"}</definedName>
    <definedName name="_____no14" localSheetId="10" hidden="1">{#N/A,#N/A,FALSE,"Full";#N/A,#N/A,FALSE,"Half";#N/A,#N/A,FALSE,"Op Expenses";#N/A,#N/A,FALSE,"Cap Charge";#N/A,#N/A,FALSE,"Cost C";#N/A,#N/A,FALSE,"PP&amp;E";#N/A,#N/A,FALSE,"R&amp;D"}</definedName>
    <definedName name="_____no14" localSheetId="1" hidden="1">{#N/A,#N/A,FALSE,"Full";#N/A,#N/A,FALSE,"Half";#N/A,#N/A,FALSE,"Op Expenses";#N/A,#N/A,FALSE,"Cap Charge";#N/A,#N/A,FALSE,"Cost C";#N/A,#N/A,FALSE,"PP&amp;E";#N/A,#N/A,FALSE,"R&amp;D"}</definedName>
    <definedName name="_____no14" localSheetId="0" hidden="1">{#N/A,#N/A,FALSE,"Full";#N/A,#N/A,FALSE,"Half";#N/A,#N/A,FALSE,"Op Expenses";#N/A,#N/A,FALSE,"Cap Charge";#N/A,#N/A,FALSE,"Cost C";#N/A,#N/A,FALSE,"PP&amp;E";#N/A,#N/A,FALSE,"R&amp;D"}</definedName>
    <definedName name="_____no14" hidden="1">{#N/A,#N/A,FALSE,"Full";#N/A,#N/A,FALSE,"Half";#N/A,#N/A,FALSE,"Op Expenses";#N/A,#N/A,FALSE,"Cap Charge";#N/A,#N/A,FALSE,"Cost C";#N/A,#N/A,FALSE,"PP&amp;E";#N/A,#N/A,FALSE,"R&amp;D"}</definedName>
    <definedName name="_____no2" localSheetId="10" hidden="1">{"EVA",#N/A,FALSE,"SMT2";#N/A,#N/A,FALSE,"Summary";#N/A,#N/A,FALSE,"Graphs";#N/A,#N/A,FALSE,"4 Panel"}</definedName>
    <definedName name="_____no2" localSheetId="1" hidden="1">{"EVA",#N/A,FALSE,"SMT2";#N/A,#N/A,FALSE,"Summary";#N/A,#N/A,FALSE,"Graphs";#N/A,#N/A,FALSE,"4 Panel"}</definedName>
    <definedName name="_____no2" localSheetId="0" hidden="1">{"EVA",#N/A,FALSE,"SMT2";#N/A,#N/A,FALSE,"Summary";#N/A,#N/A,FALSE,"Graphs";#N/A,#N/A,FALSE,"4 Panel"}</definedName>
    <definedName name="_____no2" hidden="1">{"EVA",#N/A,FALSE,"SMT2";#N/A,#N/A,FALSE,"Summary";#N/A,#N/A,FALSE,"Graphs";#N/A,#N/A,FALSE,"4 Panel"}</definedName>
    <definedName name="_____no3" localSheetId="10" hidden="1">{#N/A,#N/A,FALSE,"SMT1";#N/A,#N/A,FALSE,"SMT2";#N/A,#N/A,FALSE,"Summary";#N/A,#N/A,FALSE,"Graphs";#N/A,#N/A,FALSE,"4 Panel"}</definedName>
    <definedName name="_____no3" localSheetId="1" hidden="1">{#N/A,#N/A,FALSE,"SMT1";#N/A,#N/A,FALSE,"SMT2";#N/A,#N/A,FALSE,"Summary";#N/A,#N/A,FALSE,"Graphs";#N/A,#N/A,FALSE,"4 Panel"}</definedName>
    <definedName name="_____no3" localSheetId="0" hidden="1">{#N/A,#N/A,FALSE,"SMT1";#N/A,#N/A,FALSE,"SMT2";#N/A,#N/A,FALSE,"Summary";#N/A,#N/A,FALSE,"Graphs";#N/A,#N/A,FALSE,"4 Panel"}</definedName>
    <definedName name="_____no3" hidden="1">{#N/A,#N/A,FALSE,"SMT1";#N/A,#N/A,FALSE,"SMT2";#N/A,#N/A,FALSE,"Summary";#N/A,#N/A,FALSE,"Graphs";#N/A,#N/A,FALSE,"4 Panel"}</definedName>
    <definedName name="_____no4" localSheetId="10" hidden="1">{#N/A,#N/A,FALSE,"SMT1";#N/A,#N/A,FALSE,"SMT2";#N/A,#N/A,FALSE,"Summary";#N/A,#N/A,FALSE,"Graphs";#N/A,#N/A,FALSE,"4 Panel"}</definedName>
    <definedName name="_____no4" localSheetId="1" hidden="1">{#N/A,#N/A,FALSE,"SMT1";#N/A,#N/A,FALSE,"SMT2";#N/A,#N/A,FALSE,"Summary";#N/A,#N/A,FALSE,"Graphs";#N/A,#N/A,FALSE,"4 Panel"}</definedName>
    <definedName name="_____no4" localSheetId="0" hidden="1">{#N/A,#N/A,FALSE,"SMT1";#N/A,#N/A,FALSE,"SMT2";#N/A,#N/A,FALSE,"Summary";#N/A,#N/A,FALSE,"Graphs";#N/A,#N/A,FALSE,"4 Panel"}</definedName>
    <definedName name="_____no4" hidden="1">{#N/A,#N/A,FALSE,"SMT1";#N/A,#N/A,FALSE,"SMT2";#N/A,#N/A,FALSE,"Summary";#N/A,#N/A,FALSE,"Graphs";#N/A,#N/A,FALSE,"4 Panel"}</definedName>
    <definedName name="_____no5" localSheetId="10" hidden="1">{#N/A,#N/A,FALSE,"Full";#N/A,#N/A,FALSE,"Half";#N/A,#N/A,FALSE,"Op Expenses";#N/A,#N/A,FALSE,"Cap Charge";#N/A,#N/A,FALSE,"Cost C";#N/A,#N/A,FALSE,"PP&amp;E";#N/A,#N/A,FALSE,"R&amp;D"}</definedName>
    <definedName name="_____no5" localSheetId="1" hidden="1">{#N/A,#N/A,FALSE,"Full";#N/A,#N/A,FALSE,"Half";#N/A,#N/A,FALSE,"Op Expenses";#N/A,#N/A,FALSE,"Cap Charge";#N/A,#N/A,FALSE,"Cost C";#N/A,#N/A,FALSE,"PP&amp;E";#N/A,#N/A,FALSE,"R&amp;D"}</definedName>
    <definedName name="_____no5" localSheetId="0" hidden="1">{#N/A,#N/A,FALSE,"Full";#N/A,#N/A,FALSE,"Half";#N/A,#N/A,FALSE,"Op Expenses";#N/A,#N/A,FALSE,"Cap Charge";#N/A,#N/A,FALSE,"Cost C";#N/A,#N/A,FALSE,"PP&amp;E";#N/A,#N/A,FALSE,"R&amp;D"}</definedName>
    <definedName name="_____no5" hidden="1">{#N/A,#N/A,FALSE,"Full";#N/A,#N/A,FALSE,"Half";#N/A,#N/A,FALSE,"Op Expenses";#N/A,#N/A,FALSE,"Cap Charge";#N/A,#N/A,FALSE,"Cost C";#N/A,#N/A,FALSE,"PP&amp;E";#N/A,#N/A,FALSE,"R&amp;D"}</definedName>
    <definedName name="_____no6" localSheetId="10" hidden="1">{"EVA",#N/A,FALSE,"SMT2";#N/A,#N/A,FALSE,"Summary";#N/A,#N/A,FALSE,"Graphs";#N/A,#N/A,FALSE,"4 Panel"}</definedName>
    <definedName name="_____no6" localSheetId="1" hidden="1">{"EVA",#N/A,FALSE,"SMT2";#N/A,#N/A,FALSE,"Summary";#N/A,#N/A,FALSE,"Graphs";#N/A,#N/A,FALSE,"4 Panel"}</definedName>
    <definedName name="_____no6" localSheetId="0" hidden="1">{"EVA",#N/A,FALSE,"SMT2";#N/A,#N/A,FALSE,"Summary";#N/A,#N/A,FALSE,"Graphs";#N/A,#N/A,FALSE,"4 Panel"}</definedName>
    <definedName name="_____no6" hidden="1">{"EVA",#N/A,FALSE,"SMT2";#N/A,#N/A,FALSE,"Summary";#N/A,#N/A,FALSE,"Graphs";#N/A,#N/A,FALSE,"4 Panel"}</definedName>
    <definedName name="_____no7" localSheetId="10" hidden="1">{"EVA",#N/A,FALSE,"SMT2";#N/A,#N/A,FALSE,"Summary";#N/A,#N/A,FALSE,"Graphs";#N/A,#N/A,FALSE,"4 Panel"}</definedName>
    <definedName name="_____no7" localSheetId="1" hidden="1">{"EVA",#N/A,FALSE,"SMT2";#N/A,#N/A,FALSE,"Summary";#N/A,#N/A,FALSE,"Graphs";#N/A,#N/A,FALSE,"4 Panel"}</definedName>
    <definedName name="_____no7" localSheetId="0" hidden="1">{"EVA",#N/A,FALSE,"SMT2";#N/A,#N/A,FALSE,"Summary";#N/A,#N/A,FALSE,"Graphs";#N/A,#N/A,FALSE,"4 Panel"}</definedName>
    <definedName name="_____no7" hidden="1">{"EVA",#N/A,FALSE,"SMT2";#N/A,#N/A,FALSE,"Summary";#N/A,#N/A,FALSE,"Graphs";#N/A,#N/A,FALSE,"4 Panel"}</definedName>
    <definedName name="_____no8" localSheetId="10" hidden="1">{"EVA",#N/A,FALSE,"SMT2";#N/A,#N/A,FALSE,"Summary";#N/A,#N/A,FALSE,"Graphs";#N/A,#N/A,FALSE,"4 Panel"}</definedName>
    <definedName name="_____no8" localSheetId="1" hidden="1">{"EVA",#N/A,FALSE,"SMT2";#N/A,#N/A,FALSE,"Summary";#N/A,#N/A,FALSE,"Graphs";#N/A,#N/A,FALSE,"4 Panel"}</definedName>
    <definedName name="_____no8" localSheetId="0" hidden="1">{"EVA",#N/A,FALSE,"SMT2";#N/A,#N/A,FALSE,"Summary";#N/A,#N/A,FALSE,"Graphs";#N/A,#N/A,FALSE,"4 Panel"}</definedName>
    <definedName name="_____no8" hidden="1">{"EVA",#N/A,FALSE,"SMT2";#N/A,#N/A,FALSE,"Summary";#N/A,#N/A,FALSE,"Graphs";#N/A,#N/A,FALSE,"4 Panel"}</definedName>
    <definedName name="_____no9" localSheetId="10" hidden="1">{"EVA",#N/A,FALSE,"SMT2";#N/A,#N/A,FALSE,"Summary";#N/A,#N/A,FALSE,"Graphs";#N/A,#N/A,FALSE,"4 Panel"}</definedName>
    <definedName name="_____no9" localSheetId="1" hidden="1">{"EVA",#N/A,FALSE,"SMT2";#N/A,#N/A,FALSE,"Summary";#N/A,#N/A,FALSE,"Graphs";#N/A,#N/A,FALSE,"4 Panel"}</definedName>
    <definedName name="_____no9" localSheetId="0" hidden="1">{"EVA",#N/A,FALSE,"SMT2";#N/A,#N/A,FALSE,"Summary";#N/A,#N/A,FALSE,"Graphs";#N/A,#N/A,FALSE,"4 Panel"}</definedName>
    <definedName name="_____no9" hidden="1">{"EVA",#N/A,FALSE,"SMT2";#N/A,#N/A,FALSE,"Summary";#N/A,#N/A,FALSE,"Graphs";#N/A,#N/A,FALSE,"4 Panel"}</definedName>
    <definedName name="_____nyn7" localSheetId="10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 localSheetId="0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4" localSheetId="10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0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0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0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0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0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10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0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0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r" localSheetId="10" hidden="1">{"TAB1",#N/A,TRUE,"GENERAL";"TAB2",#N/A,TRUE,"GENERAL";"TAB3",#N/A,TRUE,"GENERAL";"TAB4",#N/A,TRUE,"GENERAL";"TAB5",#N/A,TRUE,"GENERAL"}</definedName>
    <definedName name="_____r" localSheetId="1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0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10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0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0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0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0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0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0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0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10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0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0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0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0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0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0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0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0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0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0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0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0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0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0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0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0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0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10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0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0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0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0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0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0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0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10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10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0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0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0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0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0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0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0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0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10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0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0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0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0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0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0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0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0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0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0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0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0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0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10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2" localSheetId="10" hidden="1">{#N/A,#N/A,FALSE,"Costos Productos 6A";#N/A,#N/A,FALSE,"Costo Unitario Total H-94-12"}</definedName>
    <definedName name="____A2" localSheetId="1" hidden="1">{#N/A,#N/A,FALSE,"Costos Productos 6A";#N/A,#N/A,FALSE,"Costo Unitario Total H-94-12"}</definedName>
    <definedName name="____A2" localSheetId="0" hidden="1">{#N/A,#N/A,FALSE,"Costos Productos 6A";#N/A,#N/A,FALSE,"Costo Unitario Total H-94-12"}</definedName>
    <definedName name="____A2" hidden="1">{#N/A,#N/A,FALSE,"Costos Productos 6A";#N/A,#N/A,FALSE,"Costo Unitario Total H-94-12"}</definedName>
    <definedName name="____a3" localSheetId="10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10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0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0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localSheetId="10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0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0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0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0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0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0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0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0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DF4" hidden="1">#REF!</definedName>
    <definedName name="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g2" localSheetId="10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0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0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0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0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0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0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0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0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0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0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0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0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0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0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0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10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0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0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0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0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0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0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10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0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0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0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0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0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0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0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10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0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0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0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0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0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0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10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0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0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ew1" localSheetId="10" hidden="1">{#N/A,#N/A,FALSE,"SMT1";#N/A,#N/A,FALSE,"SMT2";#N/A,#N/A,FALSE,"Summary";#N/A,#N/A,FALSE,"Graphs";#N/A,#N/A,FALSE,"4 Panel"}</definedName>
    <definedName name="____new1" localSheetId="1" hidden="1">{#N/A,#N/A,FALSE,"SMT1";#N/A,#N/A,FALSE,"SMT2";#N/A,#N/A,FALSE,"Summary";#N/A,#N/A,FALSE,"Graphs";#N/A,#N/A,FALSE,"4 Panel"}</definedName>
    <definedName name="____new1" localSheetId="0" hidden="1">{#N/A,#N/A,FALSE,"SMT1";#N/A,#N/A,FALSE,"SMT2";#N/A,#N/A,FALSE,"Summary";#N/A,#N/A,FALSE,"Graphs";#N/A,#N/A,FALSE,"4 Panel"}</definedName>
    <definedName name="____new1" hidden="1">{#N/A,#N/A,FALSE,"SMT1";#N/A,#N/A,FALSE,"SMT2";#N/A,#N/A,FALSE,"Summary";#N/A,#N/A,FALSE,"Graphs";#N/A,#N/A,FALSE,"4 Panel"}</definedName>
    <definedName name="____new10" localSheetId="10" hidden="1">{#N/A,#N/A,FALSE,"SMT1";#N/A,#N/A,FALSE,"SMT2";#N/A,#N/A,FALSE,"Summary";#N/A,#N/A,FALSE,"Graphs";#N/A,#N/A,FALSE,"4 Panel"}</definedName>
    <definedName name="____new10" localSheetId="1" hidden="1">{#N/A,#N/A,FALSE,"SMT1";#N/A,#N/A,FALSE,"SMT2";#N/A,#N/A,FALSE,"Summary";#N/A,#N/A,FALSE,"Graphs";#N/A,#N/A,FALSE,"4 Panel"}</definedName>
    <definedName name="____new10" localSheetId="0" hidden="1">{#N/A,#N/A,FALSE,"SMT1";#N/A,#N/A,FALSE,"SMT2";#N/A,#N/A,FALSE,"Summary";#N/A,#N/A,FALSE,"Graphs";#N/A,#N/A,FALSE,"4 Panel"}</definedName>
    <definedName name="____new10" hidden="1">{#N/A,#N/A,FALSE,"SMT1";#N/A,#N/A,FALSE,"SMT2";#N/A,#N/A,FALSE,"Summary";#N/A,#N/A,FALSE,"Graphs";#N/A,#N/A,FALSE,"4 Panel"}</definedName>
    <definedName name="____new2" localSheetId="10" hidden="1">{"EVA",#N/A,FALSE,"SMT2";#N/A,#N/A,FALSE,"Summary";#N/A,#N/A,FALSE,"Graphs";#N/A,#N/A,FALSE,"4 Panel"}</definedName>
    <definedName name="____new2" localSheetId="1" hidden="1">{"EVA",#N/A,FALSE,"SMT2";#N/A,#N/A,FALSE,"Summary";#N/A,#N/A,FALSE,"Graphs";#N/A,#N/A,FALSE,"4 Panel"}</definedName>
    <definedName name="____new2" localSheetId="0" hidden="1">{"EVA",#N/A,FALSE,"SMT2";#N/A,#N/A,FALSE,"Summary";#N/A,#N/A,FALSE,"Graphs";#N/A,#N/A,FALSE,"4 Panel"}</definedName>
    <definedName name="____new2" hidden="1">{"EVA",#N/A,FALSE,"SMT2";#N/A,#N/A,FALSE,"Summary";#N/A,#N/A,FALSE,"Graphs";#N/A,#N/A,FALSE,"4 Panel"}</definedName>
    <definedName name="____NEW3" localSheetId="10" hidden="1">{#N/A,#N/A,FALSE,"SMT1";#N/A,#N/A,FALSE,"SMT2";#N/A,#N/A,FALSE,"Summary";#N/A,#N/A,FALSE,"Graphs";#N/A,#N/A,FALSE,"4 Panel"}</definedName>
    <definedName name="____NEW3" localSheetId="1" hidden="1">{#N/A,#N/A,FALSE,"SMT1";#N/A,#N/A,FALSE,"SMT2";#N/A,#N/A,FALSE,"Summary";#N/A,#N/A,FALSE,"Graphs";#N/A,#N/A,FALSE,"4 Panel"}</definedName>
    <definedName name="____NEW3" localSheetId="0" hidden="1">{#N/A,#N/A,FALSE,"SMT1";#N/A,#N/A,FALSE,"SMT2";#N/A,#N/A,FALSE,"Summary";#N/A,#N/A,FALSE,"Graphs";#N/A,#N/A,FALSE,"4 Panel"}</definedName>
    <definedName name="____NEW3" hidden="1">{#N/A,#N/A,FALSE,"SMT1";#N/A,#N/A,FALSE,"SMT2";#N/A,#N/A,FALSE,"Summary";#N/A,#N/A,FALSE,"Graphs";#N/A,#N/A,FALSE,"4 Panel"}</definedName>
    <definedName name="____NEW4" localSheetId="10" hidden="1">{#N/A,#N/A,FALSE,"Full";#N/A,#N/A,FALSE,"Half";#N/A,#N/A,FALSE,"Op Expenses";#N/A,#N/A,FALSE,"Cap Charge";#N/A,#N/A,FALSE,"Cost C";#N/A,#N/A,FALSE,"PP&amp;E";#N/A,#N/A,FALSE,"R&amp;D"}</definedName>
    <definedName name="____NEW4" localSheetId="1" hidden="1">{#N/A,#N/A,FALSE,"Full";#N/A,#N/A,FALSE,"Half";#N/A,#N/A,FALSE,"Op Expenses";#N/A,#N/A,FALSE,"Cap Charge";#N/A,#N/A,FALSE,"Cost C";#N/A,#N/A,FALSE,"PP&amp;E";#N/A,#N/A,FALSE,"R&amp;D"}</definedName>
    <definedName name="____NEW4" localSheetId="0" hidden="1">{#N/A,#N/A,FALSE,"Full";#N/A,#N/A,FALSE,"Half";#N/A,#N/A,FALSE,"Op Expenses";#N/A,#N/A,FALSE,"Cap Charge";#N/A,#N/A,FALSE,"Cost C";#N/A,#N/A,FALSE,"PP&amp;E";#N/A,#N/A,FALSE,"R&amp;D"}</definedName>
    <definedName name="____NEW4" hidden="1">{#N/A,#N/A,FALSE,"Full";#N/A,#N/A,FALSE,"Half";#N/A,#N/A,FALSE,"Op Expenses";#N/A,#N/A,FALSE,"Cap Charge";#N/A,#N/A,FALSE,"Cost C";#N/A,#N/A,FALSE,"PP&amp;E";#N/A,#N/A,FALSE,"R&amp;D"}</definedName>
    <definedName name="____no1" localSheetId="10" hidden="1">{#N/A,#N/A,FALSE,"SMT1";#N/A,#N/A,FALSE,"SMT2";#N/A,#N/A,FALSE,"Summary";#N/A,#N/A,FALSE,"Graphs";#N/A,#N/A,FALSE,"4 Panel"}</definedName>
    <definedName name="____no1" localSheetId="1" hidden="1">{#N/A,#N/A,FALSE,"SMT1";#N/A,#N/A,FALSE,"SMT2";#N/A,#N/A,FALSE,"Summary";#N/A,#N/A,FALSE,"Graphs";#N/A,#N/A,FALSE,"4 Panel"}</definedName>
    <definedName name="____no1" localSheetId="0" hidden="1">{#N/A,#N/A,FALSE,"SMT1";#N/A,#N/A,FALSE,"SMT2";#N/A,#N/A,FALSE,"Summary";#N/A,#N/A,FALSE,"Graphs";#N/A,#N/A,FALSE,"4 Panel"}</definedName>
    <definedName name="____no1" hidden="1">{#N/A,#N/A,FALSE,"SMT1";#N/A,#N/A,FALSE,"SMT2";#N/A,#N/A,FALSE,"Summary";#N/A,#N/A,FALSE,"Graphs";#N/A,#N/A,FALSE,"4 Panel"}</definedName>
    <definedName name="____no10" localSheetId="10" hidden="1">{#N/A,#N/A,FALSE,"SMT1";#N/A,#N/A,FALSE,"SMT2";#N/A,#N/A,FALSE,"Summary";#N/A,#N/A,FALSE,"Graphs";#N/A,#N/A,FALSE,"4 Panel"}</definedName>
    <definedName name="____no10" localSheetId="1" hidden="1">{#N/A,#N/A,FALSE,"SMT1";#N/A,#N/A,FALSE,"SMT2";#N/A,#N/A,FALSE,"Summary";#N/A,#N/A,FALSE,"Graphs";#N/A,#N/A,FALSE,"4 Panel"}</definedName>
    <definedName name="____no10" localSheetId="0" hidden="1">{#N/A,#N/A,FALSE,"SMT1";#N/A,#N/A,FALSE,"SMT2";#N/A,#N/A,FALSE,"Summary";#N/A,#N/A,FALSE,"Graphs";#N/A,#N/A,FALSE,"4 Panel"}</definedName>
    <definedName name="____no10" hidden="1">{#N/A,#N/A,FALSE,"SMT1";#N/A,#N/A,FALSE,"SMT2";#N/A,#N/A,FALSE,"Summary";#N/A,#N/A,FALSE,"Graphs";#N/A,#N/A,FALSE,"4 Panel"}</definedName>
    <definedName name="____no11" localSheetId="10" hidden="1">{#N/A,#N/A,FALSE,"Full";#N/A,#N/A,FALSE,"Half";#N/A,#N/A,FALSE,"Op Expenses";#N/A,#N/A,FALSE,"Cap Charge";#N/A,#N/A,FALSE,"Cost C";#N/A,#N/A,FALSE,"PP&amp;E";#N/A,#N/A,FALSE,"R&amp;D"}</definedName>
    <definedName name="____no11" localSheetId="1" hidden="1">{#N/A,#N/A,FALSE,"Full";#N/A,#N/A,FALSE,"Half";#N/A,#N/A,FALSE,"Op Expenses";#N/A,#N/A,FALSE,"Cap Charge";#N/A,#N/A,FALSE,"Cost C";#N/A,#N/A,FALSE,"PP&amp;E";#N/A,#N/A,FALSE,"R&amp;D"}</definedName>
    <definedName name="____no11" localSheetId="0" hidden="1">{#N/A,#N/A,FALSE,"Full";#N/A,#N/A,FALSE,"Half";#N/A,#N/A,FALSE,"Op Expenses";#N/A,#N/A,FALSE,"Cap Charge";#N/A,#N/A,FALSE,"Cost C";#N/A,#N/A,FALSE,"PP&amp;E";#N/A,#N/A,FALSE,"R&amp;D"}</definedName>
    <definedName name="____no11" hidden="1">{#N/A,#N/A,FALSE,"Full";#N/A,#N/A,FALSE,"Half";#N/A,#N/A,FALSE,"Op Expenses";#N/A,#N/A,FALSE,"Cap Charge";#N/A,#N/A,FALSE,"Cost C";#N/A,#N/A,FALSE,"PP&amp;E";#N/A,#N/A,FALSE,"R&amp;D"}</definedName>
    <definedName name="____no12" localSheetId="10" hidden="1">{#N/A,#N/A,FALSE,"SMT1";#N/A,#N/A,FALSE,"SMT2";#N/A,#N/A,FALSE,"Summary";#N/A,#N/A,FALSE,"Graphs";#N/A,#N/A,FALSE,"4 Panel"}</definedName>
    <definedName name="____no12" localSheetId="1" hidden="1">{#N/A,#N/A,FALSE,"SMT1";#N/A,#N/A,FALSE,"SMT2";#N/A,#N/A,FALSE,"Summary";#N/A,#N/A,FALSE,"Graphs";#N/A,#N/A,FALSE,"4 Panel"}</definedName>
    <definedName name="____no12" localSheetId="0" hidden="1">{#N/A,#N/A,FALSE,"SMT1";#N/A,#N/A,FALSE,"SMT2";#N/A,#N/A,FALSE,"Summary";#N/A,#N/A,FALSE,"Graphs";#N/A,#N/A,FALSE,"4 Panel"}</definedName>
    <definedName name="____no12" hidden="1">{#N/A,#N/A,FALSE,"SMT1";#N/A,#N/A,FALSE,"SMT2";#N/A,#N/A,FALSE,"Summary";#N/A,#N/A,FALSE,"Graphs";#N/A,#N/A,FALSE,"4 Panel"}</definedName>
    <definedName name="____no13" localSheetId="10" hidden="1">{"EVA",#N/A,FALSE,"SMT2";#N/A,#N/A,FALSE,"Summary";#N/A,#N/A,FALSE,"Graphs";#N/A,#N/A,FALSE,"4 Panel"}</definedName>
    <definedName name="____no13" localSheetId="1" hidden="1">{"EVA",#N/A,FALSE,"SMT2";#N/A,#N/A,FALSE,"Summary";#N/A,#N/A,FALSE,"Graphs";#N/A,#N/A,FALSE,"4 Panel"}</definedName>
    <definedName name="____no13" localSheetId="0" hidden="1">{"EVA",#N/A,FALSE,"SMT2";#N/A,#N/A,FALSE,"Summary";#N/A,#N/A,FALSE,"Graphs";#N/A,#N/A,FALSE,"4 Panel"}</definedName>
    <definedName name="____no13" hidden="1">{"EVA",#N/A,FALSE,"SMT2";#N/A,#N/A,FALSE,"Summary";#N/A,#N/A,FALSE,"Graphs";#N/A,#N/A,FALSE,"4 Panel"}</definedName>
    <definedName name="____no14" localSheetId="10" hidden="1">{#N/A,#N/A,FALSE,"Full";#N/A,#N/A,FALSE,"Half";#N/A,#N/A,FALSE,"Op Expenses";#N/A,#N/A,FALSE,"Cap Charge";#N/A,#N/A,FALSE,"Cost C";#N/A,#N/A,FALSE,"PP&amp;E";#N/A,#N/A,FALSE,"R&amp;D"}</definedName>
    <definedName name="____no14" localSheetId="1" hidden="1">{#N/A,#N/A,FALSE,"Full";#N/A,#N/A,FALSE,"Half";#N/A,#N/A,FALSE,"Op Expenses";#N/A,#N/A,FALSE,"Cap Charge";#N/A,#N/A,FALSE,"Cost C";#N/A,#N/A,FALSE,"PP&amp;E";#N/A,#N/A,FALSE,"R&amp;D"}</definedName>
    <definedName name="____no14" localSheetId="0" hidden="1">{#N/A,#N/A,FALSE,"Full";#N/A,#N/A,FALSE,"Half";#N/A,#N/A,FALSE,"Op Expenses";#N/A,#N/A,FALSE,"Cap Charge";#N/A,#N/A,FALSE,"Cost C";#N/A,#N/A,FALSE,"PP&amp;E";#N/A,#N/A,FALSE,"R&amp;D"}</definedName>
    <definedName name="____no14" hidden="1">{#N/A,#N/A,FALSE,"Full";#N/A,#N/A,FALSE,"Half";#N/A,#N/A,FALSE,"Op Expenses";#N/A,#N/A,FALSE,"Cap Charge";#N/A,#N/A,FALSE,"Cost C";#N/A,#N/A,FALSE,"PP&amp;E";#N/A,#N/A,FALSE,"R&amp;D"}</definedName>
    <definedName name="____no2" localSheetId="10" hidden="1">{"EVA",#N/A,FALSE,"SMT2";#N/A,#N/A,FALSE,"Summary";#N/A,#N/A,FALSE,"Graphs";#N/A,#N/A,FALSE,"4 Panel"}</definedName>
    <definedName name="____no2" localSheetId="1" hidden="1">{"EVA",#N/A,FALSE,"SMT2";#N/A,#N/A,FALSE,"Summary";#N/A,#N/A,FALSE,"Graphs";#N/A,#N/A,FALSE,"4 Panel"}</definedName>
    <definedName name="____no2" localSheetId="0" hidden="1">{"EVA",#N/A,FALSE,"SMT2";#N/A,#N/A,FALSE,"Summary";#N/A,#N/A,FALSE,"Graphs";#N/A,#N/A,FALSE,"4 Panel"}</definedName>
    <definedName name="____no2" hidden="1">{"EVA",#N/A,FALSE,"SMT2";#N/A,#N/A,FALSE,"Summary";#N/A,#N/A,FALSE,"Graphs";#N/A,#N/A,FALSE,"4 Panel"}</definedName>
    <definedName name="____no3" localSheetId="10" hidden="1">{#N/A,#N/A,FALSE,"SMT1";#N/A,#N/A,FALSE,"SMT2";#N/A,#N/A,FALSE,"Summary";#N/A,#N/A,FALSE,"Graphs";#N/A,#N/A,FALSE,"4 Panel"}</definedName>
    <definedName name="____no3" localSheetId="1" hidden="1">{#N/A,#N/A,FALSE,"SMT1";#N/A,#N/A,FALSE,"SMT2";#N/A,#N/A,FALSE,"Summary";#N/A,#N/A,FALSE,"Graphs";#N/A,#N/A,FALSE,"4 Panel"}</definedName>
    <definedName name="____no3" localSheetId="0" hidden="1">{#N/A,#N/A,FALSE,"SMT1";#N/A,#N/A,FALSE,"SMT2";#N/A,#N/A,FALSE,"Summary";#N/A,#N/A,FALSE,"Graphs";#N/A,#N/A,FALSE,"4 Panel"}</definedName>
    <definedName name="____no3" hidden="1">{#N/A,#N/A,FALSE,"SMT1";#N/A,#N/A,FALSE,"SMT2";#N/A,#N/A,FALSE,"Summary";#N/A,#N/A,FALSE,"Graphs";#N/A,#N/A,FALSE,"4 Panel"}</definedName>
    <definedName name="____no4" localSheetId="10" hidden="1">{#N/A,#N/A,FALSE,"SMT1";#N/A,#N/A,FALSE,"SMT2";#N/A,#N/A,FALSE,"Summary";#N/A,#N/A,FALSE,"Graphs";#N/A,#N/A,FALSE,"4 Panel"}</definedName>
    <definedName name="____no4" localSheetId="1" hidden="1">{#N/A,#N/A,FALSE,"SMT1";#N/A,#N/A,FALSE,"SMT2";#N/A,#N/A,FALSE,"Summary";#N/A,#N/A,FALSE,"Graphs";#N/A,#N/A,FALSE,"4 Panel"}</definedName>
    <definedName name="____no4" localSheetId="0" hidden="1">{#N/A,#N/A,FALSE,"SMT1";#N/A,#N/A,FALSE,"SMT2";#N/A,#N/A,FALSE,"Summary";#N/A,#N/A,FALSE,"Graphs";#N/A,#N/A,FALSE,"4 Panel"}</definedName>
    <definedName name="____no4" hidden="1">{#N/A,#N/A,FALSE,"SMT1";#N/A,#N/A,FALSE,"SMT2";#N/A,#N/A,FALSE,"Summary";#N/A,#N/A,FALSE,"Graphs";#N/A,#N/A,FALSE,"4 Panel"}</definedName>
    <definedName name="____no5" localSheetId="10" hidden="1">{#N/A,#N/A,FALSE,"Full";#N/A,#N/A,FALSE,"Half";#N/A,#N/A,FALSE,"Op Expenses";#N/A,#N/A,FALSE,"Cap Charge";#N/A,#N/A,FALSE,"Cost C";#N/A,#N/A,FALSE,"PP&amp;E";#N/A,#N/A,FALSE,"R&amp;D"}</definedName>
    <definedName name="____no5" localSheetId="1" hidden="1">{#N/A,#N/A,FALSE,"Full";#N/A,#N/A,FALSE,"Half";#N/A,#N/A,FALSE,"Op Expenses";#N/A,#N/A,FALSE,"Cap Charge";#N/A,#N/A,FALSE,"Cost C";#N/A,#N/A,FALSE,"PP&amp;E";#N/A,#N/A,FALSE,"R&amp;D"}</definedName>
    <definedName name="____no5" localSheetId="0" hidden="1">{#N/A,#N/A,FALSE,"Full";#N/A,#N/A,FALSE,"Half";#N/A,#N/A,FALSE,"Op Expenses";#N/A,#N/A,FALSE,"Cap Charge";#N/A,#N/A,FALSE,"Cost C";#N/A,#N/A,FALSE,"PP&amp;E";#N/A,#N/A,FALSE,"R&amp;D"}</definedName>
    <definedName name="____no5" hidden="1">{#N/A,#N/A,FALSE,"Full";#N/A,#N/A,FALSE,"Half";#N/A,#N/A,FALSE,"Op Expenses";#N/A,#N/A,FALSE,"Cap Charge";#N/A,#N/A,FALSE,"Cost C";#N/A,#N/A,FALSE,"PP&amp;E";#N/A,#N/A,FALSE,"R&amp;D"}</definedName>
    <definedName name="____no6" localSheetId="10" hidden="1">{"EVA",#N/A,FALSE,"SMT2";#N/A,#N/A,FALSE,"Summary";#N/A,#N/A,FALSE,"Graphs";#N/A,#N/A,FALSE,"4 Panel"}</definedName>
    <definedName name="____no6" localSheetId="1" hidden="1">{"EVA",#N/A,FALSE,"SMT2";#N/A,#N/A,FALSE,"Summary";#N/A,#N/A,FALSE,"Graphs";#N/A,#N/A,FALSE,"4 Panel"}</definedName>
    <definedName name="____no6" localSheetId="0" hidden="1">{"EVA",#N/A,FALSE,"SMT2";#N/A,#N/A,FALSE,"Summary";#N/A,#N/A,FALSE,"Graphs";#N/A,#N/A,FALSE,"4 Panel"}</definedName>
    <definedName name="____no6" hidden="1">{"EVA",#N/A,FALSE,"SMT2";#N/A,#N/A,FALSE,"Summary";#N/A,#N/A,FALSE,"Graphs";#N/A,#N/A,FALSE,"4 Panel"}</definedName>
    <definedName name="____no7" localSheetId="10" hidden="1">{"EVA",#N/A,FALSE,"SMT2";#N/A,#N/A,FALSE,"Summary";#N/A,#N/A,FALSE,"Graphs";#N/A,#N/A,FALSE,"4 Panel"}</definedName>
    <definedName name="____no7" localSheetId="1" hidden="1">{"EVA",#N/A,FALSE,"SMT2";#N/A,#N/A,FALSE,"Summary";#N/A,#N/A,FALSE,"Graphs";#N/A,#N/A,FALSE,"4 Panel"}</definedName>
    <definedName name="____no7" localSheetId="0" hidden="1">{"EVA",#N/A,FALSE,"SMT2";#N/A,#N/A,FALSE,"Summary";#N/A,#N/A,FALSE,"Graphs";#N/A,#N/A,FALSE,"4 Panel"}</definedName>
    <definedName name="____no7" hidden="1">{"EVA",#N/A,FALSE,"SMT2";#N/A,#N/A,FALSE,"Summary";#N/A,#N/A,FALSE,"Graphs";#N/A,#N/A,FALSE,"4 Panel"}</definedName>
    <definedName name="____no8" localSheetId="10" hidden="1">{"EVA",#N/A,FALSE,"SMT2";#N/A,#N/A,FALSE,"Summary";#N/A,#N/A,FALSE,"Graphs";#N/A,#N/A,FALSE,"4 Panel"}</definedName>
    <definedName name="____no8" localSheetId="1" hidden="1">{"EVA",#N/A,FALSE,"SMT2";#N/A,#N/A,FALSE,"Summary";#N/A,#N/A,FALSE,"Graphs";#N/A,#N/A,FALSE,"4 Panel"}</definedName>
    <definedName name="____no8" localSheetId="0" hidden="1">{"EVA",#N/A,FALSE,"SMT2";#N/A,#N/A,FALSE,"Summary";#N/A,#N/A,FALSE,"Graphs";#N/A,#N/A,FALSE,"4 Panel"}</definedName>
    <definedName name="____no8" hidden="1">{"EVA",#N/A,FALSE,"SMT2";#N/A,#N/A,FALSE,"Summary";#N/A,#N/A,FALSE,"Graphs";#N/A,#N/A,FALSE,"4 Panel"}</definedName>
    <definedName name="____no9" localSheetId="10" hidden="1">{"EVA",#N/A,FALSE,"SMT2";#N/A,#N/A,FALSE,"Summary";#N/A,#N/A,FALSE,"Graphs";#N/A,#N/A,FALSE,"4 Panel"}</definedName>
    <definedName name="____no9" localSheetId="1" hidden="1">{"EVA",#N/A,FALSE,"SMT2";#N/A,#N/A,FALSE,"Summary";#N/A,#N/A,FALSE,"Graphs";#N/A,#N/A,FALSE,"4 Panel"}</definedName>
    <definedName name="____no9" localSheetId="0" hidden="1">{"EVA",#N/A,FALSE,"SMT2";#N/A,#N/A,FALSE,"Summary";#N/A,#N/A,FALSE,"Graphs";#N/A,#N/A,FALSE,"4 Panel"}</definedName>
    <definedName name="____no9" hidden="1">{"EVA",#N/A,FALSE,"SMT2";#N/A,#N/A,FALSE,"Summary";#N/A,#N/A,FALSE,"Graphs";#N/A,#N/A,FALSE,"4 Panel"}</definedName>
    <definedName name="____nyn7" localSheetId="10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 localSheetId="0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4" localSheetId="10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0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0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0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0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0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10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0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0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r" localSheetId="10" hidden="1">{"TAB1",#N/A,TRUE,"GENERAL";"TAB2",#N/A,TRUE,"GENERAL";"TAB3",#N/A,TRUE,"GENERAL";"TAB4",#N/A,TRUE,"GENERAL";"TAB5",#N/A,TRUE,"GENERAL"}</definedName>
    <definedName name="____r" localSheetId="1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0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10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0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0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0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0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0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0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0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10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0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0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0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0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0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0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0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0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0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0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10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0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0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0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0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0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0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10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0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0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0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0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0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0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0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10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10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0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0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0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0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0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0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0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0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10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0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0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0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0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0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0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0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0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0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0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0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0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0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2" localSheetId="10" hidden="1">{#N/A,#N/A,FALSE,"Costos Productos 6A";#N/A,#N/A,FALSE,"Costo Unitario Total H-94-12"}</definedName>
    <definedName name="___A2" localSheetId="1" hidden="1">{#N/A,#N/A,FALSE,"Costos Productos 6A";#N/A,#N/A,FALSE,"Costo Unitario Total H-94-12"}</definedName>
    <definedName name="___A2" localSheetId="0" hidden="1">{#N/A,#N/A,FALSE,"Costos Productos 6A";#N/A,#N/A,FALSE,"Costo Unitario Total H-94-12"}</definedName>
    <definedName name="___A2" hidden="1">{#N/A,#N/A,FALSE,"Costos Productos 6A";#N/A,#N/A,FALSE,"Costo Unitario Total H-94-12"}</definedName>
    <definedName name="___a3" localSheetId="10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10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0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0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10" hidden="1">{#N/A,#N/A,TRUE,"INGENIERIA";#N/A,#N/A,TRUE,"COMPRAS";#N/A,#N/A,TRUE,"DIRECCION";#N/A,#N/A,TRUE,"RESUMEN"}</definedName>
    <definedName name="___AAS1" localSheetId="1" hidden="1">{#N/A,#N/A,TRUE,"INGENIERIA";#N/A,#N/A,TRUE,"COMPRAS";#N/A,#N/A,TRUE,"DIRECCION";#N/A,#N/A,TRUE,"RESUMEN"}</definedName>
    <definedName name="___AAS1" localSheetId="0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10" hidden="1">{#N/A,#N/A,TRUE,"1842CWN0"}</definedName>
    <definedName name="___ABC1" localSheetId="1" hidden="1">{#N/A,#N/A,TRUE,"1842CWN0"}</definedName>
    <definedName name="___ABC1" localSheetId="0" hidden="1">{#N/A,#N/A,TRUE,"1842CWN0"}</definedName>
    <definedName name="___ABC1" hidden="1">{#N/A,#N/A,TRUE,"1842CWN0"}</definedName>
    <definedName name="___abc2" localSheetId="10" hidden="1">{#N/A,#N/A,TRUE,"1842CWN0"}</definedName>
    <definedName name="___abc2" localSheetId="1" hidden="1">{#N/A,#N/A,TRUE,"1842CWN0"}</definedName>
    <definedName name="___abc2" localSheetId="0" hidden="1">{#N/A,#N/A,TRUE,"1842CWN0"}</definedName>
    <definedName name="___abc2" hidden="1">{#N/A,#N/A,TRUE,"1842CWN0"}</definedName>
    <definedName name="___b2" localSheetId="10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0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0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0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0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0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0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0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0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DF4" hidden="1">#REF!</definedName>
    <definedName name="___g2" localSheetId="10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0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0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0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0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0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0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0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0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0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0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0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0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0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0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10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10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0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0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0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0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0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0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10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0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0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0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0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0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0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10" hidden="1">#REF!</definedName>
    <definedName name="___key2" hidden="1">#REF!</definedName>
    <definedName name="___key3" localSheetId="10" hidden="1">#REF!</definedName>
    <definedName name="___key3" hidden="1">#REF!</definedName>
    <definedName name="___key31" localSheetId="10" hidden="1">#REF!</definedName>
    <definedName name="___key31" hidden="1">#REF!</definedName>
    <definedName name="___kjk6" localSheetId="10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10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0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0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0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0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0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0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10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0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0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0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 localSheetId="0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4" localSheetId="10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0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0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0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0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0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10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0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0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10" hidden="1">{"TAB1",#N/A,TRUE,"GENERAL";"TAB2",#N/A,TRUE,"GENERAL";"TAB3",#N/A,TRUE,"GENERAL";"TAB4",#N/A,TRUE,"GENERAL";"TAB5",#N/A,TRUE,"GENERAL"}</definedName>
    <definedName name="___r" localSheetId="1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0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10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0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0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0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0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0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0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0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10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0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0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0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0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0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0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0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0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0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0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10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0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0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0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0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0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0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3" localSheetId="10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9" localSheetId="10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10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x8" localSheetId="10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0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8" localSheetId="10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0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3" localSheetId="10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10__123Graph_XGráfico_4A" localSheetId="10" hidden="1">#REF!</definedName>
    <definedName name="__10__123Graph_XGráfico_4A" hidden="1">#REF!</definedName>
    <definedName name="__11_4_0__123Grap" localSheetId="10" hidden="1">#REF!</definedName>
    <definedName name="__11_4_0__123Grap" hidden="1">#REF!</definedName>
    <definedName name="__12_4_0__123Grap" localSheetId="10" hidden="1">#REF!</definedName>
    <definedName name="__12_4_0__123Grap" hidden="1">#REF!</definedName>
    <definedName name="__123Graph_A" localSheetId="10" hidden="1">#REF!</definedName>
    <definedName name="__123Graph_A" hidden="1">#REF!</definedName>
    <definedName name="__123Graph_Acaja" localSheetId="10" hidden="1">#REF!</definedName>
    <definedName name="__123Graph_Acaja" hidden="1">#REF!</definedName>
    <definedName name="__123Graph_ACart_AnticAdic" localSheetId="10" hidden="1">#REF!</definedName>
    <definedName name="__123Graph_ACart_AnticAdic" hidden="1">#REF!</definedName>
    <definedName name="__123Graph_AFACTURAC" localSheetId="10" hidden="1">#REF!</definedName>
    <definedName name="__123Graph_AFACTURAC" hidden="1">#REF!</definedName>
    <definedName name="__123Graph_AFRQACIRR" localSheetId="10" hidden="1">#REF!</definedName>
    <definedName name="__123Graph_AFRQACIRR" hidden="1">#REF!</definedName>
    <definedName name="__123Graph_AFRQACNPV" localSheetId="10" hidden="1">#REF!</definedName>
    <definedName name="__123Graph_AFRQACNPV" hidden="1">#REF!</definedName>
    <definedName name="__123Graph_AFRQACRES" localSheetId="10" hidden="1">#REF!</definedName>
    <definedName name="__123Graph_AFRQACRES" hidden="1">#REF!</definedName>
    <definedName name="__123Graph_AGraph2" localSheetId="10" hidden="1">#REF!</definedName>
    <definedName name="__123Graph_AGraph2" hidden="1">#REF!</definedName>
    <definedName name="__123Graph_AHSTGIRR" localSheetId="10" hidden="1">#REF!</definedName>
    <definedName name="__123Graph_AHSTGIRR" hidden="1">#REF!</definedName>
    <definedName name="__123Graph_AHSTGNPV" localSheetId="10" hidden="1">#REF!</definedName>
    <definedName name="__123Graph_AHSTGNPV" hidden="1">#REF!</definedName>
    <definedName name="__123Graph_AHSTGRES" localSheetId="10" hidden="1">#REF!</definedName>
    <definedName name="__123Graph_AHSTGRES" hidden="1">#REF!</definedName>
    <definedName name="__123Graph_AMAIN" localSheetId="10" hidden="1">#REF!</definedName>
    <definedName name="__123Graph_AMAIN" hidden="1">#REF!</definedName>
    <definedName name="__123Graph_B" localSheetId="10" hidden="1">#REF!</definedName>
    <definedName name="__123Graph_B" hidden="1">#REF!</definedName>
    <definedName name="__123Graph_Bcaja" localSheetId="10" hidden="1">#REF!</definedName>
    <definedName name="__123Graph_Bcaja" hidden="1">#REF!</definedName>
    <definedName name="__123Graph_BCart_AnticAdic" localSheetId="10" hidden="1">#REF!</definedName>
    <definedName name="__123Graph_BCart_AnticAdic" hidden="1">#REF!</definedName>
    <definedName name="__123Graph_BMAIN" localSheetId="10" hidden="1">#REF!</definedName>
    <definedName name="__123Graph_BMAIN" hidden="1">#REF!</definedName>
    <definedName name="__123Graph_C" localSheetId="10" hidden="1">#REF!</definedName>
    <definedName name="__123Graph_C" hidden="1">#REF!</definedName>
    <definedName name="__123Graph_Ccaja" localSheetId="10" hidden="1">#REF!</definedName>
    <definedName name="__123Graph_Ccaja" hidden="1">#REF!</definedName>
    <definedName name="__123Graph_CCart_AnticAdic" localSheetId="10" hidden="1">#REF!</definedName>
    <definedName name="__123Graph_CCart_AnticAdic" hidden="1">#REF!</definedName>
    <definedName name="__123Graph_D" localSheetId="10" hidden="1">#REF!</definedName>
    <definedName name="__123Graph_D" hidden="1">#REF!</definedName>
    <definedName name="__123Graph_Dcaja" localSheetId="10" hidden="1">#REF!</definedName>
    <definedName name="__123Graph_Dcaja" hidden="1">#REF!</definedName>
    <definedName name="__123Graph_DCart_AnticAdic" localSheetId="10" hidden="1">#REF!</definedName>
    <definedName name="__123Graph_DCart_AnticAdic" hidden="1">#REF!</definedName>
    <definedName name="__123Graph_E" localSheetId="10" hidden="1">#REF!</definedName>
    <definedName name="__123Graph_E" hidden="1">#REF!</definedName>
    <definedName name="__123Graph_ECart_AnticAdic" localSheetId="10" hidden="1">#REF!</definedName>
    <definedName name="__123Graph_ECart_AnticAdic" hidden="1">#REF!</definedName>
    <definedName name="__123Graph_F" hidden="1">#REF!</definedName>
    <definedName name="__123Graph_LBL_ACart_AnticAdic" localSheetId="10" hidden="1">#REF!</definedName>
    <definedName name="__123Graph_LBL_ACart_AnticAdic" hidden="1">#REF!</definedName>
    <definedName name="__123Graph_LBL_Ccaja" localSheetId="10" hidden="1">#REF!</definedName>
    <definedName name="__123Graph_LBL_Ccaja" hidden="1">#REF!</definedName>
    <definedName name="__123Graph_LBL_DCart_AnticAdic" localSheetId="10" hidden="1">#REF!</definedName>
    <definedName name="__123Graph_LBL_DCart_AnticAdic" hidden="1">#REF!</definedName>
    <definedName name="__123Graph_X" localSheetId="10" hidden="1">#REF!</definedName>
    <definedName name="__123Graph_X" hidden="1">#REF!</definedName>
    <definedName name="__123Graph_Xcaja" localSheetId="10" hidden="1">#REF!</definedName>
    <definedName name="__123Graph_Xcaja" hidden="1">#REF!</definedName>
    <definedName name="__123Graph_XFRQACNPV" localSheetId="10" hidden="1">#REF!</definedName>
    <definedName name="__123Graph_XFRQACNPV" hidden="1">#REF!</definedName>
    <definedName name="__123Graph_XFRQACRES" localSheetId="10" hidden="1">#REF!</definedName>
    <definedName name="__123Graph_XFRQACRES" hidden="1">#REF!</definedName>
    <definedName name="__123Graph_XMAIN" localSheetId="10" hidden="1">#REF!</definedName>
    <definedName name="__123Graph_XMAIN" hidden="1">#REF!</definedName>
    <definedName name="__16_B_0__123Graph_XGráfico" localSheetId="10" hidden="1">#REF!</definedName>
    <definedName name="__16_B_0__123Graph_XGráfico" hidden="1">#REF!</definedName>
    <definedName name="__17_B_0__123Graph_XGráfico" localSheetId="10" hidden="1">#REF!</definedName>
    <definedName name="__17_B_0__123Graph_XGráfico" hidden="1">#REF!</definedName>
    <definedName name="__19_4_0__123Grap" localSheetId="10" hidden="1">#REF!</definedName>
    <definedName name="__19_4_0__123Grap" hidden="1">#REF!</definedName>
    <definedName name="__20_4____123Grap" localSheetId="10" hidden="1">#REF!</definedName>
    <definedName name="__20_4____123Grap" hidden="1">#REF!</definedName>
    <definedName name="__4___123Graph_AGráfico_4A" localSheetId="10" hidden="1">#REF!</definedName>
    <definedName name="__4___123Graph_AGráfico_4A" hidden="1">#REF!</definedName>
    <definedName name="__5___123Graph_AGráfico_4A" localSheetId="10" hidden="1">#REF!</definedName>
    <definedName name="__5___123Graph_AGráfico_4A" hidden="1">#REF!</definedName>
    <definedName name="__5___123Graph_BGráfico_4A" localSheetId="10" hidden="1">#REF!</definedName>
    <definedName name="__5___123Graph_BGráfico_4A" hidden="1">#REF!</definedName>
    <definedName name="__6___123Graph_BGráfico_4A" localSheetId="10" hidden="1">#REF!</definedName>
    <definedName name="__6___123Graph_BGráfico_4A" hidden="1">#REF!</definedName>
    <definedName name="__6___123Graph_XGráfico_4A" localSheetId="10" hidden="1">#REF!</definedName>
    <definedName name="__6___123Graph_XGráfico_4A" hidden="1">#REF!</definedName>
    <definedName name="__7___123Graph_XGráfico_4A" localSheetId="10" hidden="1">#REF!</definedName>
    <definedName name="__7___123Graph_XGráfico_4A" hidden="1">#REF!</definedName>
    <definedName name="__7__123Graph_AGráfico_4A" localSheetId="10" hidden="1">#REF!</definedName>
    <definedName name="__7__123Graph_AGráfico_4A" hidden="1">#REF!</definedName>
    <definedName name="__8__123Graph_AGráfico_4A" localSheetId="10" hidden="1">#REF!</definedName>
    <definedName name="__8__123Graph_AGráfico_4A" hidden="1">#REF!</definedName>
    <definedName name="__8__123Graph_BGráfico_4A" localSheetId="10" hidden="1">#REF!</definedName>
    <definedName name="__8__123Graph_BGráfico_4A" hidden="1">#REF!</definedName>
    <definedName name="__9__123Graph_BGráfico_4A" localSheetId="10" hidden="1">#REF!</definedName>
    <definedName name="__9__123Graph_BGráfico_4A" hidden="1">#REF!</definedName>
    <definedName name="__9__123Graph_XGráfico_4A" localSheetId="10" hidden="1">#REF!</definedName>
    <definedName name="__9__123Graph_XGráfico_4A" hidden="1">#REF!</definedName>
    <definedName name="__a1" localSheetId="10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2" localSheetId="10" hidden="1">{#N/A,#N/A,FALSE,"Costos Productos 6A";#N/A,#N/A,FALSE,"Costo Unitario Total H-94-12"}</definedName>
    <definedName name="__A2" localSheetId="1" hidden="1">{#N/A,#N/A,FALSE,"Costos Productos 6A";#N/A,#N/A,FALSE,"Costo Unitario Total H-94-12"}</definedName>
    <definedName name="__A2" localSheetId="0" hidden="1">{#N/A,#N/A,FALSE,"Costos Productos 6A";#N/A,#N/A,FALSE,"Costo Unitario Total H-94-12"}</definedName>
    <definedName name="__A2" hidden="1">{#N/A,#N/A,FALSE,"Costos Productos 6A";#N/A,#N/A,FALSE,"Costo Unitario Total H-94-12"}</definedName>
    <definedName name="__a3" localSheetId="1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10" hidden="1">{#N/A,#N/A,TRUE,"INGENIERIA";#N/A,#N/A,TRUE,"COMPRAS";#N/A,#N/A,TRUE,"DIRECCION";#N/A,#N/A,TRUE,"RESUMEN"}</definedName>
    <definedName name="__AAS1" localSheetId="1" hidden="1">{#N/A,#N/A,TRUE,"INGENIERIA";#N/A,#N/A,TRUE,"COMPRAS";#N/A,#N/A,TRUE,"DIRECCION";#N/A,#N/A,TRUE,"RESUMEN"}</definedName>
    <definedName name="__AAS1" localSheetId="0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10" hidden="1">{#N/A,#N/A,TRUE,"1842CWN0"}</definedName>
    <definedName name="__ABC1" localSheetId="1" hidden="1">{#N/A,#N/A,TRUE,"1842CWN0"}</definedName>
    <definedName name="__ABC1" localSheetId="0" hidden="1">{#N/A,#N/A,TRUE,"1842CWN0"}</definedName>
    <definedName name="__ABC1" hidden="1">{#N/A,#N/A,TRUE,"1842CWN0"}</definedName>
    <definedName name="__abc2" localSheetId="10" hidden="1">{#N/A,#N/A,TRUE,"1842CWN0"}</definedName>
    <definedName name="__abc2" localSheetId="1" hidden="1">{#N/A,#N/A,TRUE,"1842CWN0"}</definedName>
    <definedName name="__abc2" localSheetId="0" hidden="1">{#N/A,#N/A,TRUE,"1842CWN0"}</definedName>
    <definedName name="__abc2" hidden="1">{#N/A,#N/A,TRUE,"1842CWN0"}</definedName>
    <definedName name="__b2" localSheetId="1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localSheetId="10" hidden="1">#REF!</definedName>
    <definedName name="__CMU005" hidden="1">#REF!</definedName>
    <definedName name="__DF4" hidden="1">#REF!</definedName>
    <definedName name="__FDS_HYPERLINK_TOGGLE_STATE__" hidden="1">"ON"</definedName>
    <definedName name="__g2" localSheetId="1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localSheetId="10" hidden="1">{#N/A,#N/A,TRUE,"1842CWN0"}</definedName>
    <definedName name="__hhg1" localSheetId="1" hidden="1">{#N/A,#N/A,TRUE,"1842CWN0"}</definedName>
    <definedName name="__hhg1" localSheetId="0" hidden="1">{#N/A,#N/A,TRUE,"1842CWN0"}</definedName>
    <definedName name="__hhg1" hidden="1">{#N/A,#N/A,TRUE,"1842CWN0"}</definedName>
    <definedName name="__i4" localSheetId="1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tlFixup" hidden="1">TRUE</definedName>
    <definedName name="__k3" localSheetId="1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10" hidden="1">#REF!</definedName>
    <definedName name="__key2" hidden="1">#REF!</definedName>
    <definedName name="__key21" localSheetId="10" hidden="1">#REF!</definedName>
    <definedName name="__key21" hidden="1">#REF!</definedName>
    <definedName name="__key3" localSheetId="10" hidden="1">#REF!</definedName>
    <definedName name="__key3" hidden="1">#REF!</definedName>
    <definedName name="__key31" localSheetId="10" hidden="1">#REF!</definedName>
    <definedName name="__key31" hidden="1">#REF!</definedName>
    <definedName name="__kjk6" localSheetId="1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1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ew1" localSheetId="10" hidden="1">{#N/A,#N/A,FALSE,"SMT1";#N/A,#N/A,FALSE,"SMT2";#N/A,#N/A,FALSE,"Summary";#N/A,#N/A,FALSE,"Graphs";#N/A,#N/A,FALSE,"4 Panel"}</definedName>
    <definedName name="__new1" localSheetId="1" hidden="1">{#N/A,#N/A,FALSE,"SMT1";#N/A,#N/A,FALSE,"SMT2";#N/A,#N/A,FALSE,"Summary";#N/A,#N/A,FALSE,"Graphs";#N/A,#N/A,FALSE,"4 Panel"}</definedName>
    <definedName name="__new1" localSheetId="0" hidden="1">{#N/A,#N/A,FALSE,"SMT1";#N/A,#N/A,FALSE,"SMT2";#N/A,#N/A,FALSE,"Summary";#N/A,#N/A,FALSE,"Graphs";#N/A,#N/A,FALSE,"4 Panel"}</definedName>
    <definedName name="__new1" hidden="1">{#N/A,#N/A,FALSE,"SMT1";#N/A,#N/A,FALSE,"SMT2";#N/A,#N/A,FALSE,"Summary";#N/A,#N/A,FALSE,"Graphs";#N/A,#N/A,FALSE,"4 Panel"}</definedName>
    <definedName name="__new10" localSheetId="10" hidden="1">{#N/A,#N/A,FALSE,"SMT1";#N/A,#N/A,FALSE,"SMT2";#N/A,#N/A,FALSE,"Summary";#N/A,#N/A,FALSE,"Graphs";#N/A,#N/A,FALSE,"4 Panel"}</definedName>
    <definedName name="__new10" localSheetId="1" hidden="1">{#N/A,#N/A,FALSE,"SMT1";#N/A,#N/A,FALSE,"SMT2";#N/A,#N/A,FALSE,"Summary";#N/A,#N/A,FALSE,"Graphs";#N/A,#N/A,FALSE,"4 Panel"}</definedName>
    <definedName name="__new10" localSheetId="0" hidden="1">{#N/A,#N/A,FALSE,"SMT1";#N/A,#N/A,FALSE,"SMT2";#N/A,#N/A,FALSE,"Summary";#N/A,#N/A,FALSE,"Graphs";#N/A,#N/A,FALSE,"4 Panel"}</definedName>
    <definedName name="__new10" hidden="1">{#N/A,#N/A,FALSE,"SMT1";#N/A,#N/A,FALSE,"SMT2";#N/A,#N/A,FALSE,"Summary";#N/A,#N/A,FALSE,"Graphs";#N/A,#N/A,FALSE,"4 Panel"}</definedName>
    <definedName name="__new2" localSheetId="10" hidden="1">{"EVA",#N/A,FALSE,"SMT2";#N/A,#N/A,FALSE,"Summary";#N/A,#N/A,FALSE,"Graphs";#N/A,#N/A,FALSE,"4 Panel"}</definedName>
    <definedName name="__new2" localSheetId="1" hidden="1">{"EVA",#N/A,FALSE,"SMT2";#N/A,#N/A,FALSE,"Summary";#N/A,#N/A,FALSE,"Graphs";#N/A,#N/A,FALSE,"4 Panel"}</definedName>
    <definedName name="__new2" localSheetId="0" hidden="1">{"EVA",#N/A,FALSE,"SMT2";#N/A,#N/A,FALSE,"Summary";#N/A,#N/A,FALSE,"Graphs";#N/A,#N/A,FALSE,"4 Panel"}</definedName>
    <definedName name="__new2" hidden="1">{"EVA",#N/A,FALSE,"SMT2";#N/A,#N/A,FALSE,"Summary";#N/A,#N/A,FALSE,"Graphs";#N/A,#N/A,FALSE,"4 Panel"}</definedName>
    <definedName name="__NEW3" localSheetId="10" hidden="1">{#N/A,#N/A,FALSE,"SMT1";#N/A,#N/A,FALSE,"SMT2";#N/A,#N/A,FALSE,"Summary";#N/A,#N/A,FALSE,"Graphs";#N/A,#N/A,FALSE,"4 Panel"}</definedName>
    <definedName name="__NEW3" localSheetId="1" hidden="1">{#N/A,#N/A,FALSE,"SMT1";#N/A,#N/A,FALSE,"SMT2";#N/A,#N/A,FALSE,"Summary";#N/A,#N/A,FALSE,"Graphs";#N/A,#N/A,FALSE,"4 Panel"}</definedName>
    <definedName name="__NEW3" localSheetId="0" hidden="1">{#N/A,#N/A,FALSE,"SMT1";#N/A,#N/A,FALSE,"SMT2";#N/A,#N/A,FALSE,"Summary";#N/A,#N/A,FALSE,"Graphs";#N/A,#N/A,FALSE,"4 Panel"}</definedName>
    <definedName name="__NEW3" hidden="1">{#N/A,#N/A,FALSE,"SMT1";#N/A,#N/A,FALSE,"SMT2";#N/A,#N/A,FALSE,"Summary";#N/A,#N/A,FALSE,"Graphs";#N/A,#N/A,FALSE,"4 Panel"}</definedName>
    <definedName name="__NEW4" localSheetId="10" hidden="1">{#N/A,#N/A,FALSE,"Full";#N/A,#N/A,FALSE,"Half";#N/A,#N/A,FALSE,"Op Expenses";#N/A,#N/A,FALSE,"Cap Charge";#N/A,#N/A,FALSE,"Cost C";#N/A,#N/A,FALSE,"PP&amp;E";#N/A,#N/A,FALSE,"R&amp;D"}</definedName>
    <definedName name="__NEW4" localSheetId="1" hidden="1">{#N/A,#N/A,FALSE,"Full";#N/A,#N/A,FALSE,"Half";#N/A,#N/A,FALSE,"Op Expenses";#N/A,#N/A,FALSE,"Cap Charge";#N/A,#N/A,FALSE,"Cost C";#N/A,#N/A,FALSE,"PP&amp;E";#N/A,#N/A,FALSE,"R&amp;D"}</definedName>
    <definedName name="__NEW4" localSheetId="0" hidden="1">{#N/A,#N/A,FALSE,"Full";#N/A,#N/A,FALSE,"Half";#N/A,#N/A,FALSE,"Op Expenses";#N/A,#N/A,FALSE,"Cap Charge";#N/A,#N/A,FALSE,"Cost C";#N/A,#N/A,FALSE,"PP&amp;E";#N/A,#N/A,FALSE,"R&amp;D"}</definedName>
    <definedName name="__NEW4" hidden="1">{#N/A,#N/A,FALSE,"Full";#N/A,#N/A,FALSE,"Half";#N/A,#N/A,FALSE,"Op Expenses";#N/A,#N/A,FALSE,"Cap Charge";#N/A,#N/A,FALSE,"Cost C";#N/A,#N/A,FALSE,"PP&amp;E";#N/A,#N/A,FALSE,"R&amp;D"}</definedName>
    <definedName name="__no1" localSheetId="10" hidden="1">{#N/A,#N/A,FALSE,"SMT1";#N/A,#N/A,FALSE,"SMT2";#N/A,#N/A,FALSE,"Summary";#N/A,#N/A,FALSE,"Graphs";#N/A,#N/A,FALSE,"4 Panel"}</definedName>
    <definedName name="__no1" localSheetId="1" hidden="1">{#N/A,#N/A,FALSE,"SMT1";#N/A,#N/A,FALSE,"SMT2";#N/A,#N/A,FALSE,"Summary";#N/A,#N/A,FALSE,"Graphs";#N/A,#N/A,FALSE,"4 Panel"}</definedName>
    <definedName name="__no1" localSheetId="0" hidden="1">{#N/A,#N/A,FALSE,"SMT1";#N/A,#N/A,FALSE,"SMT2";#N/A,#N/A,FALSE,"Summary";#N/A,#N/A,FALSE,"Graphs";#N/A,#N/A,FALSE,"4 Panel"}</definedName>
    <definedName name="__no1" hidden="1">{#N/A,#N/A,FALSE,"SMT1";#N/A,#N/A,FALSE,"SMT2";#N/A,#N/A,FALSE,"Summary";#N/A,#N/A,FALSE,"Graphs";#N/A,#N/A,FALSE,"4 Panel"}</definedName>
    <definedName name="__no10" localSheetId="10" hidden="1">{#N/A,#N/A,FALSE,"SMT1";#N/A,#N/A,FALSE,"SMT2";#N/A,#N/A,FALSE,"Summary";#N/A,#N/A,FALSE,"Graphs";#N/A,#N/A,FALSE,"4 Panel"}</definedName>
    <definedName name="__no10" localSheetId="1" hidden="1">{#N/A,#N/A,FALSE,"SMT1";#N/A,#N/A,FALSE,"SMT2";#N/A,#N/A,FALSE,"Summary";#N/A,#N/A,FALSE,"Graphs";#N/A,#N/A,FALSE,"4 Panel"}</definedName>
    <definedName name="__no10" localSheetId="0" hidden="1">{#N/A,#N/A,FALSE,"SMT1";#N/A,#N/A,FALSE,"SMT2";#N/A,#N/A,FALSE,"Summary";#N/A,#N/A,FALSE,"Graphs";#N/A,#N/A,FALSE,"4 Panel"}</definedName>
    <definedName name="__no10" hidden="1">{#N/A,#N/A,FALSE,"SMT1";#N/A,#N/A,FALSE,"SMT2";#N/A,#N/A,FALSE,"Summary";#N/A,#N/A,FALSE,"Graphs";#N/A,#N/A,FALSE,"4 Panel"}</definedName>
    <definedName name="__no11" localSheetId="10" hidden="1">{#N/A,#N/A,FALSE,"Full";#N/A,#N/A,FALSE,"Half";#N/A,#N/A,FALSE,"Op Expenses";#N/A,#N/A,FALSE,"Cap Charge";#N/A,#N/A,FALSE,"Cost C";#N/A,#N/A,FALSE,"PP&amp;E";#N/A,#N/A,FALSE,"R&amp;D"}</definedName>
    <definedName name="__no11" localSheetId="1" hidden="1">{#N/A,#N/A,FALSE,"Full";#N/A,#N/A,FALSE,"Half";#N/A,#N/A,FALSE,"Op Expenses";#N/A,#N/A,FALSE,"Cap Charge";#N/A,#N/A,FALSE,"Cost C";#N/A,#N/A,FALSE,"PP&amp;E";#N/A,#N/A,FALSE,"R&amp;D"}</definedName>
    <definedName name="__no11" localSheetId="0" hidden="1">{#N/A,#N/A,FALSE,"Full";#N/A,#N/A,FALSE,"Half";#N/A,#N/A,FALSE,"Op Expenses";#N/A,#N/A,FALSE,"Cap Charge";#N/A,#N/A,FALSE,"Cost C";#N/A,#N/A,FALSE,"PP&amp;E";#N/A,#N/A,FALSE,"R&amp;D"}</definedName>
    <definedName name="__no11" hidden="1">{#N/A,#N/A,FALSE,"Full";#N/A,#N/A,FALSE,"Half";#N/A,#N/A,FALSE,"Op Expenses";#N/A,#N/A,FALSE,"Cap Charge";#N/A,#N/A,FALSE,"Cost C";#N/A,#N/A,FALSE,"PP&amp;E";#N/A,#N/A,FALSE,"R&amp;D"}</definedName>
    <definedName name="__no12" localSheetId="10" hidden="1">{#N/A,#N/A,FALSE,"SMT1";#N/A,#N/A,FALSE,"SMT2";#N/A,#N/A,FALSE,"Summary";#N/A,#N/A,FALSE,"Graphs";#N/A,#N/A,FALSE,"4 Panel"}</definedName>
    <definedName name="__no12" localSheetId="1" hidden="1">{#N/A,#N/A,FALSE,"SMT1";#N/A,#N/A,FALSE,"SMT2";#N/A,#N/A,FALSE,"Summary";#N/A,#N/A,FALSE,"Graphs";#N/A,#N/A,FALSE,"4 Panel"}</definedName>
    <definedName name="__no12" localSheetId="0" hidden="1">{#N/A,#N/A,FALSE,"SMT1";#N/A,#N/A,FALSE,"SMT2";#N/A,#N/A,FALSE,"Summary";#N/A,#N/A,FALSE,"Graphs";#N/A,#N/A,FALSE,"4 Panel"}</definedName>
    <definedName name="__no12" hidden="1">{#N/A,#N/A,FALSE,"SMT1";#N/A,#N/A,FALSE,"SMT2";#N/A,#N/A,FALSE,"Summary";#N/A,#N/A,FALSE,"Graphs";#N/A,#N/A,FALSE,"4 Panel"}</definedName>
    <definedName name="__no13" localSheetId="10" hidden="1">{"EVA",#N/A,FALSE,"SMT2";#N/A,#N/A,FALSE,"Summary";#N/A,#N/A,FALSE,"Graphs";#N/A,#N/A,FALSE,"4 Panel"}</definedName>
    <definedName name="__no13" localSheetId="1" hidden="1">{"EVA",#N/A,FALSE,"SMT2";#N/A,#N/A,FALSE,"Summary";#N/A,#N/A,FALSE,"Graphs";#N/A,#N/A,FALSE,"4 Panel"}</definedName>
    <definedName name="__no13" localSheetId="0" hidden="1">{"EVA",#N/A,FALSE,"SMT2";#N/A,#N/A,FALSE,"Summary";#N/A,#N/A,FALSE,"Graphs";#N/A,#N/A,FALSE,"4 Panel"}</definedName>
    <definedName name="__no13" hidden="1">{"EVA",#N/A,FALSE,"SMT2";#N/A,#N/A,FALSE,"Summary";#N/A,#N/A,FALSE,"Graphs";#N/A,#N/A,FALSE,"4 Panel"}</definedName>
    <definedName name="__no14" localSheetId="10" hidden="1">{#N/A,#N/A,FALSE,"Full";#N/A,#N/A,FALSE,"Half";#N/A,#N/A,FALSE,"Op Expenses";#N/A,#N/A,FALSE,"Cap Charge";#N/A,#N/A,FALSE,"Cost C";#N/A,#N/A,FALSE,"PP&amp;E";#N/A,#N/A,FALSE,"R&amp;D"}</definedName>
    <definedName name="__no14" localSheetId="1" hidden="1">{#N/A,#N/A,FALSE,"Full";#N/A,#N/A,FALSE,"Half";#N/A,#N/A,FALSE,"Op Expenses";#N/A,#N/A,FALSE,"Cap Charge";#N/A,#N/A,FALSE,"Cost C";#N/A,#N/A,FALSE,"PP&amp;E";#N/A,#N/A,FALSE,"R&amp;D"}</definedName>
    <definedName name="__no14" localSheetId="0" hidden="1">{#N/A,#N/A,FALSE,"Full";#N/A,#N/A,FALSE,"Half";#N/A,#N/A,FALSE,"Op Expenses";#N/A,#N/A,FALSE,"Cap Charge";#N/A,#N/A,FALSE,"Cost C";#N/A,#N/A,FALSE,"PP&amp;E";#N/A,#N/A,FALSE,"R&amp;D"}</definedName>
    <definedName name="__no14" hidden="1">{#N/A,#N/A,FALSE,"Full";#N/A,#N/A,FALSE,"Half";#N/A,#N/A,FALSE,"Op Expenses";#N/A,#N/A,FALSE,"Cap Charge";#N/A,#N/A,FALSE,"Cost C";#N/A,#N/A,FALSE,"PP&amp;E";#N/A,#N/A,FALSE,"R&amp;D"}</definedName>
    <definedName name="__no2" localSheetId="10" hidden="1">{"EVA",#N/A,FALSE,"SMT2";#N/A,#N/A,FALSE,"Summary";#N/A,#N/A,FALSE,"Graphs";#N/A,#N/A,FALSE,"4 Panel"}</definedName>
    <definedName name="__no2" localSheetId="1" hidden="1">{"EVA",#N/A,FALSE,"SMT2";#N/A,#N/A,FALSE,"Summary";#N/A,#N/A,FALSE,"Graphs";#N/A,#N/A,FALSE,"4 Panel"}</definedName>
    <definedName name="__no2" localSheetId="0" hidden="1">{"EVA",#N/A,FALSE,"SMT2";#N/A,#N/A,FALSE,"Summary";#N/A,#N/A,FALSE,"Graphs";#N/A,#N/A,FALSE,"4 Panel"}</definedName>
    <definedName name="__no2" hidden="1">{"EVA",#N/A,FALSE,"SMT2";#N/A,#N/A,FALSE,"Summary";#N/A,#N/A,FALSE,"Graphs";#N/A,#N/A,FALSE,"4 Panel"}</definedName>
    <definedName name="__no3" localSheetId="10" hidden="1">{#N/A,#N/A,FALSE,"SMT1";#N/A,#N/A,FALSE,"SMT2";#N/A,#N/A,FALSE,"Summary";#N/A,#N/A,FALSE,"Graphs";#N/A,#N/A,FALSE,"4 Panel"}</definedName>
    <definedName name="__no3" localSheetId="1" hidden="1">{#N/A,#N/A,FALSE,"SMT1";#N/A,#N/A,FALSE,"SMT2";#N/A,#N/A,FALSE,"Summary";#N/A,#N/A,FALSE,"Graphs";#N/A,#N/A,FALSE,"4 Panel"}</definedName>
    <definedName name="__no3" localSheetId="0" hidden="1">{#N/A,#N/A,FALSE,"SMT1";#N/A,#N/A,FALSE,"SMT2";#N/A,#N/A,FALSE,"Summary";#N/A,#N/A,FALSE,"Graphs";#N/A,#N/A,FALSE,"4 Panel"}</definedName>
    <definedName name="__no3" hidden="1">{#N/A,#N/A,FALSE,"SMT1";#N/A,#N/A,FALSE,"SMT2";#N/A,#N/A,FALSE,"Summary";#N/A,#N/A,FALSE,"Graphs";#N/A,#N/A,FALSE,"4 Panel"}</definedName>
    <definedName name="__no4" localSheetId="10" hidden="1">{#N/A,#N/A,FALSE,"SMT1";#N/A,#N/A,FALSE,"SMT2";#N/A,#N/A,FALSE,"Summary";#N/A,#N/A,FALSE,"Graphs";#N/A,#N/A,FALSE,"4 Panel"}</definedName>
    <definedName name="__no4" localSheetId="1" hidden="1">{#N/A,#N/A,FALSE,"SMT1";#N/A,#N/A,FALSE,"SMT2";#N/A,#N/A,FALSE,"Summary";#N/A,#N/A,FALSE,"Graphs";#N/A,#N/A,FALSE,"4 Panel"}</definedName>
    <definedName name="__no4" localSheetId="0" hidden="1">{#N/A,#N/A,FALSE,"SMT1";#N/A,#N/A,FALSE,"SMT2";#N/A,#N/A,FALSE,"Summary";#N/A,#N/A,FALSE,"Graphs";#N/A,#N/A,FALSE,"4 Panel"}</definedName>
    <definedName name="__no4" hidden="1">{#N/A,#N/A,FALSE,"SMT1";#N/A,#N/A,FALSE,"SMT2";#N/A,#N/A,FALSE,"Summary";#N/A,#N/A,FALSE,"Graphs";#N/A,#N/A,FALSE,"4 Panel"}</definedName>
    <definedName name="__no5" localSheetId="10" hidden="1">{#N/A,#N/A,FALSE,"Full";#N/A,#N/A,FALSE,"Half";#N/A,#N/A,FALSE,"Op Expenses";#N/A,#N/A,FALSE,"Cap Charge";#N/A,#N/A,FALSE,"Cost C";#N/A,#N/A,FALSE,"PP&amp;E";#N/A,#N/A,FALSE,"R&amp;D"}</definedName>
    <definedName name="__no5" localSheetId="1" hidden="1">{#N/A,#N/A,FALSE,"Full";#N/A,#N/A,FALSE,"Half";#N/A,#N/A,FALSE,"Op Expenses";#N/A,#N/A,FALSE,"Cap Charge";#N/A,#N/A,FALSE,"Cost C";#N/A,#N/A,FALSE,"PP&amp;E";#N/A,#N/A,FALSE,"R&amp;D"}</definedName>
    <definedName name="__no5" localSheetId="0" hidden="1">{#N/A,#N/A,FALSE,"Full";#N/A,#N/A,FALSE,"Half";#N/A,#N/A,FALSE,"Op Expenses";#N/A,#N/A,FALSE,"Cap Charge";#N/A,#N/A,FALSE,"Cost C";#N/A,#N/A,FALSE,"PP&amp;E";#N/A,#N/A,FALSE,"R&amp;D"}</definedName>
    <definedName name="__no5" hidden="1">{#N/A,#N/A,FALSE,"Full";#N/A,#N/A,FALSE,"Half";#N/A,#N/A,FALSE,"Op Expenses";#N/A,#N/A,FALSE,"Cap Charge";#N/A,#N/A,FALSE,"Cost C";#N/A,#N/A,FALSE,"PP&amp;E";#N/A,#N/A,FALSE,"R&amp;D"}</definedName>
    <definedName name="__no6" localSheetId="10" hidden="1">{"EVA",#N/A,FALSE,"SMT2";#N/A,#N/A,FALSE,"Summary";#N/A,#N/A,FALSE,"Graphs";#N/A,#N/A,FALSE,"4 Panel"}</definedName>
    <definedName name="__no6" localSheetId="1" hidden="1">{"EVA",#N/A,FALSE,"SMT2";#N/A,#N/A,FALSE,"Summary";#N/A,#N/A,FALSE,"Graphs";#N/A,#N/A,FALSE,"4 Panel"}</definedName>
    <definedName name="__no6" localSheetId="0" hidden="1">{"EVA",#N/A,FALSE,"SMT2";#N/A,#N/A,FALSE,"Summary";#N/A,#N/A,FALSE,"Graphs";#N/A,#N/A,FALSE,"4 Panel"}</definedName>
    <definedName name="__no6" hidden="1">{"EVA",#N/A,FALSE,"SMT2";#N/A,#N/A,FALSE,"Summary";#N/A,#N/A,FALSE,"Graphs";#N/A,#N/A,FALSE,"4 Panel"}</definedName>
    <definedName name="__no7" localSheetId="10" hidden="1">{"EVA",#N/A,FALSE,"SMT2";#N/A,#N/A,FALSE,"Summary";#N/A,#N/A,FALSE,"Graphs";#N/A,#N/A,FALSE,"4 Panel"}</definedName>
    <definedName name="__no7" localSheetId="1" hidden="1">{"EVA",#N/A,FALSE,"SMT2";#N/A,#N/A,FALSE,"Summary";#N/A,#N/A,FALSE,"Graphs";#N/A,#N/A,FALSE,"4 Panel"}</definedName>
    <definedName name="__no7" localSheetId="0" hidden="1">{"EVA",#N/A,FALSE,"SMT2";#N/A,#N/A,FALSE,"Summary";#N/A,#N/A,FALSE,"Graphs";#N/A,#N/A,FALSE,"4 Panel"}</definedName>
    <definedName name="__no7" hidden="1">{"EVA",#N/A,FALSE,"SMT2";#N/A,#N/A,FALSE,"Summary";#N/A,#N/A,FALSE,"Graphs";#N/A,#N/A,FALSE,"4 Panel"}</definedName>
    <definedName name="__no8" localSheetId="10" hidden="1">{"EVA",#N/A,FALSE,"SMT2";#N/A,#N/A,FALSE,"Summary";#N/A,#N/A,FALSE,"Graphs";#N/A,#N/A,FALSE,"4 Panel"}</definedName>
    <definedName name="__no8" localSheetId="1" hidden="1">{"EVA",#N/A,FALSE,"SMT2";#N/A,#N/A,FALSE,"Summary";#N/A,#N/A,FALSE,"Graphs";#N/A,#N/A,FALSE,"4 Panel"}</definedName>
    <definedName name="__no8" localSheetId="0" hidden="1">{"EVA",#N/A,FALSE,"SMT2";#N/A,#N/A,FALSE,"Summary";#N/A,#N/A,FALSE,"Graphs";#N/A,#N/A,FALSE,"4 Panel"}</definedName>
    <definedName name="__no8" hidden="1">{"EVA",#N/A,FALSE,"SMT2";#N/A,#N/A,FALSE,"Summary";#N/A,#N/A,FALSE,"Graphs";#N/A,#N/A,FALSE,"4 Panel"}</definedName>
    <definedName name="__no9" localSheetId="10" hidden="1">{"EVA",#N/A,FALSE,"SMT2";#N/A,#N/A,FALSE,"Summary";#N/A,#N/A,FALSE,"Graphs";#N/A,#N/A,FALSE,"4 Panel"}</definedName>
    <definedName name="__no9" localSheetId="1" hidden="1">{"EVA",#N/A,FALSE,"SMT2";#N/A,#N/A,FALSE,"Summary";#N/A,#N/A,FALSE,"Graphs";#N/A,#N/A,FALSE,"4 Panel"}</definedName>
    <definedName name="__no9" localSheetId="0" hidden="1">{"EVA",#N/A,FALSE,"SMT2";#N/A,#N/A,FALSE,"Summary";#N/A,#N/A,FALSE,"Graphs";#N/A,#N/A,FALSE,"4 Panel"}</definedName>
    <definedName name="__no9" hidden="1">{"EVA",#N/A,FALSE,"SMT2";#N/A,#N/A,FALSE,"Summary";#N/A,#N/A,FALSE,"Graphs";#N/A,#N/A,FALSE,"4 Panel"}</definedName>
    <definedName name="__nyn7" localSheetId="1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 localSheetId="0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4" localSheetId="1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1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1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0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0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0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0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0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0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0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0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0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0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0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0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0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0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0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0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0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0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0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0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0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0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0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0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0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__123Graph_AMOF_NB" hidden="1">#REF!</definedName>
    <definedName name="_1___123Graph_AGráfico_4A" localSheetId="10" hidden="1">#REF!</definedName>
    <definedName name="_1___123Graph_AGráfico_4A" hidden="1">#REF!</definedName>
    <definedName name="_1__123Graph_ACart_Utilidad" localSheetId="10" hidden="1">#REF!</definedName>
    <definedName name="_1__123Graph_ACart_Utilidad" hidden="1">#REF!</definedName>
    <definedName name="_1__123Graph_ACHART_1" hidden="1">#REF!</definedName>
    <definedName name="_1__123Graph_AIRR_IRR" hidden="1">#REF!</definedName>
    <definedName name="_10___0_0_F" localSheetId="10" hidden="1">#REF!</definedName>
    <definedName name="_10___0_0_F" hidden="1">#REF!</definedName>
    <definedName name="_10___123Graph_AGráfico_4A" localSheetId="10" hidden="1">#REF!</definedName>
    <definedName name="_10___123Graph_AGráfico_4A" hidden="1">#REF!</definedName>
    <definedName name="_10___123Graph_XGráfico_4A" localSheetId="10" hidden="1">#REF!</definedName>
    <definedName name="_10___123Graph_XGráfico_4A" hidden="1">#REF!</definedName>
    <definedName name="_10___123Graph_XIRR_IRR" hidden="1">#REF!</definedName>
    <definedName name="_10__123Graph_ACHART_16" hidden="1">#REF!</definedName>
    <definedName name="_10__123Graph_CCHART_3" hidden="1">#REF!</definedName>
    <definedName name="_10__123Graph_XGráfico_4A" localSheetId="10" hidden="1">#REF!</definedName>
    <definedName name="_10__123Graph_XGráfico_4A" hidden="1">#REF!</definedName>
    <definedName name="_10_4____123Grap" localSheetId="10" hidden="1">#REF!</definedName>
    <definedName name="_10_4____123Grap" hidden="1">#REF!</definedName>
    <definedName name="_103__123Graph_Cｸﾞﾗﾌ_1" hidden="1">#REF!</definedName>
    <definedName name="_104__123Graph_Dｸﾞﾗﾌ_1" hidden="1">#REF!</definedName>
    <definedName name="_105__123Graph_XIRR_IRR" hidden="1">#REF!</definedName>
    <definedName name="_106__123Graph_XMOF_NB" hidden="1">#REF!</definedName>
    <definedName name="_107B_0__123Graph_XGráfico" localSheetId="10" hidden="1">#REF!</definedName>
    <definedName name="_107B_0__123Graph_XGráfico" hidden="1">#REF!</definedName>
    <definedName name="_108B_0__123Graph_XGráfico" localSheetId="10" hidden="1">#REF!</definedName>
    <definedName name="_108B_0__123Graph_XGráfico" hidden="1">#REF!</definedName>
    <definedName name="_11___123Graph_XMOF_NB" hidden="1">#REF!</definedName>
    <definedName name="_11__123Graph_ACHART_17" hidden="1">#REF!</definedName>
    <definedName name="_11__123Graph_AGráfico_4A" localSheetId="10" hidden="1">#REF!</definedName>
    <definedName name="_11__123Graph_AGráfico_4A" hidden="1">#REF!</definedName>
    <definedName name="_11__123Graph_CCHART_8" hidden="1">#REF!</definedName>
    <definedName name="_11_0_0_F" localSheetId="10" hidden="1">#REF!</definedName>
    <definedName name="_11_0_0_F" hidden="1">#REF!</definedName>
    <definedName name="_11_4_0__123Grap" localSheetId="10" hidden="1">#REF!</definedName>
    <definedName name="_11_4_0__123Grap" hidden="1">#REF!</definedName>
    <definedName name="_11B____123Graph_XGráfico" localSheetId="10" hidden="1">#REF!</definedName>
    <definedName name="_11B____123Graph_XGráfico" hidden="1">#REF!</definedName>
    <definedName name="_11B_0__123Graph_XGráfico" localSheetId="10" hidden="1">#REF!</definedName>
    <definedName name="_11B_0__123Graph_XGráfico" hidden="1">#REF!</definedName>
    <definedName name="_12__123Graph_ACHART_18" hidden="1">#REF!</definedName>
    <definedName name="_12__123Graph_AIRR_IRR" hidden="1">#REF!</definedName>
    <definedName name="_12__123Graph_BGráfico_4A" localSheetId="10" hidden="1">#REF!</definedName>
    <definedName name="_12__123Graph_BGráfico_4A" hidden="1">#REF!</definedName>
    <definedName name="_12__123Graph_DCHART_1" hidden="1">#REF!</definedName>
    <definedName name="_12_4_0__123Grap" localSheetId="10" hidden="1">#REF!</definedName>
    <definedName name="_12_4_0__123Grap" hidden="1">#REF!</definedName>
    <definedName name="_123" localSheetId="10" hidden="1">#REF!</definedName>
    <definedName name="_123" hidden="1">#REF!</definedName>
    <definedName name="_123gRAPH_a" localSheetId="10" hidden="1">#REF!</definedName>
    <definedName name="_123gRAPH_a" hidden="1">#REF!</definedName>
    <definedName name="_13__123Graph_ACHART_19" hidden="1">#REF!</definedName>
    <definedName name="_13__123Graph_AMOF_NB" hidden="1">#REF!</definedName>
    <definedName name="_13__123Graph_DCHART_8" hidden="1">#REF!</definedName>
    <definedName name="_13__123Graph_XGráfico_4A" localSheetId="10" hidden="1">#REF!</definedName>
    <definedName name="_13__123Graph_XGráfico_4A" hidden="1">#REF!</definedName>
    <definedName name="_131__123Graph_Xｸﾞﾗﾌ_1" hidden="1">#REF!</definedName>
    <definedName name="_13B____123Graph_XGráfico" localSheetId="10" hidden="1">#REF!</definedName>
    <definedName name="_13B____123Graph_XGráfico" hidden="1">#REF!</definedName>
    <definedName name="_14___123Graph_BGráfico_4A" localSheetId="10" hidden="1">#REF!</definedName>
    <definedName name="_14___123Graph_BGráfico_4A" hidden="1">#REF!</definedName>
    <definedName name="_14__123Graph_A????_1" hidden="1">#REF!</definedName>
    <definedName name="_14__123Graph_ACHART_2" hidden="1">#REF!</definedName>
    <definedName name="_14__123Graph_Aｸﾞﾗﾌ_1" hidden="1">#REF!</definedName>
    <definedName name="_14__123Graph_LBL_ACHART_3" hidden="1">#REF!</definedName>
    <definedName name="_14B_0__123Graph_XGráfico" localSheetId="10" hidden="1">#REF!</definedName>
    <definedName name="_14B_0__123Graph_XGráfico" hidden="1">#REF!</definedName>
    <definedName name="_15__123Graph_ACHART_20" hidden="1">#REF!</definedName>
    <definedName name="_15__123Graph_BIRR_IRR" hidden="1">#REF!</definedName>
    <definedName name="_15__123Graph_LBL_ACHART_4" hidden="1">#REF!</definedName>
    <definedName name="_15_4_0__123Grap" localSheetId="10" hidden="1">#REF!</definedName>
    <definedName name="_15_4_0__123Grap" hidden="1">#REF!</definedName>
    <definedName name="_16__123Graph_ACHART_3" hidden="1">#REF!</definedName>
    <definedName name="_16__123Graph_BMOF_NB" hidden="1">#REF!</definedName>
    <definedName name="_16__123Graph_LBL_BCHART_3" hidden="1">#REF!</definedName>
    <definedName name="_16_B_0__123Graph_XGráfico" localSheetId="10" hidden="1">#REF!</definedName>
    <definedName name="_16_B_0__123Graph_XGráfico" hidden="1">#REF!</definedName>
    <definedName name="_16B_0__123Graph_XGráfico" localSheetId="10" hidden="1">#REF!</definedName>
    <definedName name="_16B_0__123Graph_XGráfico" hidden="1">#REF!</definedName>
    <definedName name="_17__123Graph_ACHART_4" hidden="1">#REF!</definedName>
    <definedName name="_17__123Graph_B????_1" hidden="1">#REF!</definedName>
    <definedName name="_17__123Graph_Bｸﾞﾗﾌ_1" hidden="1">#REF!</definedName>
    <definedName name="_17__123Graph_LBL_BCHART_4" hidden="1">#REF!</definedName>
    <definedName name="_17_B_0__123Graph_XGráfico" localSheetId="10" hidden="1">#REF!</definedName>
    <definedName name="_17_B_0__123Graph_XGráfico" hidden="1">#REF!</definedName>
    <definedName name="_17B_0__123Graph_XGráfico" localSheetId="10" hidden="1">#REF!</definedName>
    <definedName name="_17B_0__123Graph_XGráfico" hidden="1">#REF!</definedName>
    <definedName name="_18___123Graph_XGráfico_4A" localSheetId="10" hidden="1">#REF!</definedName>
    <definedName name="_18___123Graph_XGráfico_4A" hidden="1">#REF!</definedName>
    <definedName name="_18__123Graph_ACHART_5" hidden="1">#REF!</definedName>
    <definedName name="_18__123Graph_C????_1" hidden="1">#REF!</definedName>
    <definedName name="_18__123Graph_Cｸﾞﾗﾌ_1" hidden="1">#REF!</definedName>
    <definedName name="_18__123Graph_LBL_CCHART_3" hidden="1">#REF!</definedName>
    <definedName name="_18_4____123Grap" localSheetId="10" hidden="1">#REF!</definedName>
    <definedName name="_18_4____123Grap" hidden="1">#REF!</definedName>
    <definedName name="_19__123Graph_ACHART_6" hidden="1">#REF!</definedName>
    <definedName name="_19__123Graph_D????_1" hidden="1">#REF!</definedName>
    <definedName name="_19__123Graph_Dｸﾞﾗﾌ_1" hidden="1">#REF!</definedName>
    <definedName name="_19__123Graph_XCHART_1" hidden="1">#REF!</definedName>
    <definedName name="_19_4_0__123Grap" localSheetId="10" hidden="1">#REF!</definedName>
    <definedName name="_19_4_0__123Grap" hidden="1">#REF!</definedName>
    <definedName name="_2_??" localSheetId="1" hidden="1">{"'?????10.27??????'!$Q$16"}</definedName>
    <definedName name="_2_??" localSheetId="0" hidden="1">{"'?????10.27??????'!$Q$16"}</definedName>
    <definedName name="_2_??" hidden="1">{"'?????10.27??????'!$Q$16"}</definedName>
    <definedName name="_2____123Graph_A????_1" hidden="1">#REF!</definedName>
    <definedName name="_2____123Graph_Aｸﾞﾗﾌ_1" hidden="1">#REF!</definedName>
    <definedName name="_2___123Graph_BGráfico_4A" localSheetId="10" hidden="1">#REF!</definedName>
    <definedName name="_2___123Graph_BGráfico_4A" hidden="1">#REF!</definedName>
    <definedName name="_2__123Graph_ACHART_3" hidden="1">#REF!</definedName>
    <definedName name="_2__123Graph_BCart_Utilidad" localSheetId="10" hidden="1">#REF!</definedName>
    <definedName name="_2__123Graph_BCart_Utilidad" hidden="1">#REF!</definedName>
    <definedName name="_2_0_0_F" localSheetId="10" hidden="1">#REF!</definedName>
    <definedName name="_2_0_0_F" hidden="1">#REF!</definedName>
    <definedName name="_20__123Graph_ACHART_7" hidden="1">#REF!</definedName>
    <definedName name="_20__123Graph_XCHART_3" hidden="1">#REF!</definedName>
    <definedName name="_20__123Graph_XIRR_IRR" hidden="1">#REF!</definedName>
    <definedName name="_20_4____123Grap" localSheetId="10" hidden="1">#REF!</definedName>
    <definedName name="_20_4____123Grap" hidden="1">#REF!</definedName>
    <definedName name="_20_B_0__123Graph_XGráfico" localSheetId="10" hidden="1">#REF!</definedName>
    <definedName name="_20_B_0__123Graph_XGráfico" hidden="1">#REF!</definedName>
    <definedName name="_20B____123Graph_XGráfico" localSheetId="10" hidden="1">#REF!</definedName>
    <definedName name="_20B____123Graph_XGráfico" hidden="1">#REF!</definedName>
    <definedName name="_21__123Graph_ACHART_8" hidden="1">#REF!</definedName>
    <definedName name="_21__123Graph_XCHART_4" hidden="1">#REF!</definedName>
    <definedName name="_21__123Graph_XMOF_NB" hidden="1">#REF!</definedName>
    <definedName name="_21_4_0__123Grap" localSheetId="10" hidden="1">#REF!</definedName>
    <definedName name="_21_4_0__123Grap" hidden="1">#REF!</definedName>
    <definedName name="_21B_0__123Graph_XGráfico" localSheetId="10" hidden="1">#REF!</definedName>
    <definedName name="_21B_0__123Graph_XGráfico" hidden="1">#REF!</definedName>
    <definedName name="_22__123Graph_ACHART_9" hidden="1">#REF!</definedName>
    <definedName name="_22__123Graph_AGráfico_4A" localSheetId="10" hidden="1">#REF!</definedName>
    <definedName name="_22__123Graph_AGráfico_4A" hidden="1">#REF!</definedName>
    <definedName name="_22__123Graph_X????_1" hidden="1">#REF!</definedName>
    <definedName name="_22__123Graph_XCHART_8" hidden="1">#REF!</definedName>
    <definedName name="_22__123Graph_Xｸﾞﾗﾌ_1" hidden="1">#REF!</definedName>
    <definedName name="_22_4_0__123Grap" localSheetId="10" hidden="1">#REF!</definedName>
    <definedName name="_22_4_0__123Grap" hidden="1">#REF!</definedName>
    <definedName name="_22B_0__123Graph_XGráfico" localSheetId="10" hidden="1">#REF!</definedName>
    <definedName name="_22B_0__123Graph_XGráfico" hidden="1">#REF!</definedName>
    <definedName name="_23__123Graph_BCHART_1" hidden="1">#REF!</definedName>
    <definedName name="_23B_0__123Graph_XGráfico" localSheetId="10" hidden="1">#REF!</definedName>
    <definedName name="_23B_0__123Graph_XGráfico" hidden="1">#REF!</definedName>
    <definedName name="_24__123Graph_BCHART_11" hidden="1">#REF!</definedName>
    <definedName name="_24B_0__123Graph_XGráfico" localSheetId="10" hidden="1">#REF!</definedName>
    <definedName name="_24B_0__123Graph_XGráfico" hidden="1">#REF!</definedName>
    <definedName name="_25__123Graph_BCHART_12" hidden="1">#REF!</definedName>
    <definedName name="_26__123Graph_AMOF_NB" hidden="1">#REF!</definedName>
    <definedName name="_26__123Graph_BCHART_13" hidden="1">#REF!</definedName>
    <definedName name="_26__123Graph_BGráfico_4A" localSheetId="10" hidden="1">#REF!</definedName>
    <definedName name="_26__123Graph_BGráfico_4A" hidden="1">#REF!</definedName>
    <definedName name="_26_4_0__123Grap" localSheetId="10" hidden="1">#REF!</definedName>
    <definedName name="_26_4_0__123Grap" hidden="1">#REF!</definedName>
    <definedName name="_26B_0__123Graph_XGráfico" localSheetId="10" hidden="1">#REF!</definedName>
    <definedName name="_26B_0__123Graph_XGráfico" hidden="1">#REF!</definedName>
    <definedName name="_27__123Graph_BCHART_14" hidden="1">#REF!</definedName>
    <definedName name="_28__123Graph_BCHART_15" hidden="1">#REF!</definedName>
    <definedName name="_28B____123Graph_XGráfico" localSheetId="10" hidden="1">#REF!</definedName>
    <definedName name="_28B____123Graph_XGráfico" hidden="1">#REF!</definedName>
    <definedName name="_29__123Graph_BCHART_16" hidden="1">#REF!</definedName>
    <definedName name="_29B_0__123Graph_XGráfico" localSheetId="10" hidden="1">#REF!</definedName>
    <definedName name="_29B_0__123Graph_XGráfico" hidden="1">#REF!</definedName>
    <definedName name="_3____123Graph_B????_1" hidden="1">#REF!</definedName>
    <definedName name="_3____123Graph_Bｸﾞﾗﾌ_1" hidden="1">#REF!</definedName>
    <definedName name="_3___123Graph_XGráfico_4A" localSheetId="10" hidden="1">#REF!</definedName>
    <definedName name="_3___123Graph_XGráfico_4A" hidden="1">#REF!</definedName>
    <definedName name="_3__123Graph_ACHART_1" hidden="1">#REF!</definedName>
    <definedName name="_3__123Graph_ACHART_4" hidden="1">#REF!</definedName>
    <definedName name="_3__123Graph_AGráfico_4A" localSheetId="10" hidden="1">#REF!</definedName>
    <definedName name="_3__123Graph_AGráfico_4A" hidden="1">#REF!</definedName>
    <definedName name="_3__123Graph_CCart_Utilidad" localSheetId="10" hidden="1">#REF!</definedName>
    <definedName name="_3__123Graph_CCart_Utilidad" hidden="1">#REF!</definedName>
    <definedName name="_3_0_0_F" localSheetId="10" hidden="1">#REF!</definedName>
    <definedName name="_3_0_0_F" hidden="1">#REF!</definedName>
    <definedName name="_30__123Graph_BCHART_17" hidden="1">#REF!</definedName>
    <definedName name="_30__123Graph_XGráfico_4A" localSheetId="10" hidden="1">#REF!</definedName>
    <definedName name="_30__123Graph_XGráfico_4A" hidden="1">#REF!</definedName>
    <definedName name="_30B____123Graph_XGráfico" localSheetId="10" hidden="1">#REF!</definedName>
    <definedName name="_30B____123Graph_XGráfico" hidden="1">#REF!</definedName>
    <definedName name="_31__123Graph_BCHART_2" hidden="1">#REF!</definedName>
    <definedName name="_31B_0__123Graph_XGráfico" localSheetId="10" hidden="1">#REF!</definedName>
    <definedName name="_31B_0__123Graph_XGráfico" hidden="1">#REF!</definedName>
    <definedName name="_32__123Graph_BCHART_20" hidden="1">#REF!</definedName>
    <definedName name="_33__123Graph_BCHART_3" hidden="1">#REF!</definedName>
    <definedName name="_34__123Graph_BCHART_6" hidden="1">#REF!</definedName>
    <definedName name="_35__123Graph_BCHART_7" hidden="1">#REF!</definedName>
    <definedName name="_35B____123Graph_XGráfico" localSheetId="10" hidden="1">#REF!</definedName>
    <definedName name="_35B____123Graph_XGráfico" hidden="1">#REF!</definedName>
    <definedName name="_36_??06" localSheetId="1" hidden="1">{"'?????10.27??????'!$Q$16"}</definedName>
    <definedName name="_36_??06" localSheetId="0" hidden="1">{"'?????10.27??????'!$Q$16"}</definedName>
    <definedName name="_36_??06" hidden="1">{"'?????10.27??????'!$Q$16"}</definedName>
    <definedName name="_36__123Graph_BCHART_8" hidden="1">#REF!</definedName>
    <definedName name="_36_4_0__123Grap" localSheetId="10" hidden="1">#REF!</definedName>
    <definedName name="_36_4_0__123Grap" hidden="1">#REF!</definedName>
    <definedName name="_37__123Graph_BCHART_9" hidden="1">#REF!</definedName>
    <definedName name="_37B_0__123Graph_XGráfico" localSheetId="10" hidden="1">#REF!</definedName>
    <definedName name="_37B_0__123Graph_XGráfico" hidden="1">#REF!</definedName>
    <definedName name="_38__123Graph_CCHART_1" hidden="1">#REF!</definedName>
    <definedName name="_39__123Graph_CCHART_11" hidden="1">#REF!</definedName>
    <definedName name="_4____123Graph_C????_1" hidden="1">#REF!</definedName>
    <definedName name="_4____123Graph_Cｸﾞﾗﾌ_1" hidden="1">#REF!</definedName>
    <definedName name="_4___123Graph_AGráfico_4A" localSheetId="10" hidden="1">#REF!</definedName>
    <definedName name="_4___123Graph_AGráfico_4A" hidden="1">#REF!</definedName>
    <definedName name="_4__123Graph_ACHART_10" hidden="1">#REF!</definedName>
    <definedName name="_4__123Graph_ACHART_8" hidden="1">#REF!</definedName>
    <definedName name="_4__123Graph_AGráfico_4A" localSheetId="10" hidden="1">#REF!</definedName>
    <definedName name="_4__123Graph_AGráfico_4A" hidden="1">#REF!</definedName>
    <definedName name="_4__123Graph_BGráfico_4A" localSheetId="10" hidden="1">#REF!</definedName>
    <definedName name="_4__123Graph_BGráfico_4A" hidden="1">#REF!</definedName>
    <definedName name="_4__123Graph_LBL_ACart_Utilidad" localSheetId="10" hidden="1">#REF!</definedName>
    <definedName name="_4__123Graph_LBL_ACart_Utilidad" hidden="1">#REF!</definedName>
    <definedName name="_4_4____123Grap" localSheetId="10" hidden="1">#REF!</definedName>
    <definedName name="_4_4____123Grap" hidden="1">#REF!</definedName>
    <definedName name="_40__123Graph_CCHART_12" hidden="1">#REF!</definedName>
    <definedName name="_41__123Graph_CCHART_2" hidden="1">#REF!</definedName>
    <definedName name="_42__123Graph_CCHART_20" hidden="1">#REF!</definedName>
    <definedName name="_43__123Graph_CCHART_7" hidden="1">#REF!</definedName>
    <definedName name="_44__123Graph_CCHART_8" hidden="1">#REF!</definedName>
    <definedName name="_45__123Graph_DCHART_1" hidden="1">#REF!</definedName>
    <definedName name="_46__123Graph_DCHART_12" hidden="1">#REF!</definedName>
    <definedName name="_46B_0__123Graph_XGráfico" localSheetId="10" hidden="1">#REF!</definedName>
    <definedName name="_46B_0__123Graph_XGráfico" hidden="1">#REF!</definedName>
    <definedName name="_47__123Graph_DCHART_2" hidden="1">#REF!</definedName>
    <definedName name="_48__123Graph_DCHART_8" hidden="1">#REF!</definedName>
    <definedName name="_48_B_0__123Graph_XGráfico" localSheetId="10" hidden="1">#REF!</definedName>
    <definedName name="_48_B_0__123Graph_XGráfico" hidden="1">#REF!</definedName>
    <definedName name="_49__123Graph_ECHART_12" hidden="1">#REF!</definedName>
    <definedName name="_5____123Graph_X????_1" hidden="1">#REF!</definedName>
    <definedName name="_5____123Graph_Xｸﾞﾗﾌ_1" hidden="1">#REF!</definedName>
    <definedName name="_5___123Graph_AGráfico_4A" localSheetId="10" hidden="1">#REF!</definedName>
    <definedName name="_5___123Graph_AGráfico_4A" hidden="1">#REF!</definedName>
    <definedName name="_5___123Graph_BGráfico_4A" localSheetId="10" hidden="1">#REF!</definedName>
    <definedName name="_5___123Graph_BGráfico_4A" hidden="1">#REF!</definedName>
    <definedName name="_5__123Graph_ACHART_11" hidden="1">#REF!</definedName>
    <definedName name="_5__123Graph_AGráfico_4A" localSheetId="10" hidden="1">#REF!</definedName>
    <definedName name="_5__123Graph_AGráfico_4A" hidden="1">#REF!</definedName>
    <definedName name="_5__123Graph_BCHART_1" hidden="1">#REF!</definedName>
    <definedName name="_5__123Graph_BGráfico_4A" localSheetId="10" hidden="1">#REF!</definedName>
    <definedName name="_5__123Graph_BGráfico_4A" hidden="1">#REF!</definedName>
    <definedName name="_5__123Graph_LBL_BCart_Utilidad" localSheetId="10" hidden="1">#REF!</definedName>
    <definedName name="_5__123Graph_LBL_BCart_Utilidad" hidden="1">#REF!</definedName>
    <definedName name="_5__123Graph_XGráfico_4A" localSheetId="10" hidden="1">#REF!</definedName>
    <definedName name="_5__123Graph_XGráfico_4A" hidden="1">#REF!</definedName>
    <definedName name="_5_0_0_F" localSheetId="10" hidden="1">#REF!</definedName>
    <definedName name="_5_0_0_F" hidden="1">#REF!</definedName>
    <definedName name="_50__123Graph_ECHART_2" hidden="1">#REF!</definedName>
    <definedName name="_51__123Graph_Aｸﾞﾗﾌ_1" hidden="1">#REF!</definedName>
    <definedName name="_51__123Graph_ECHART_8" hidden="1">#REF!</definedName>
    <definedName name="_52__123Graph_BIRR_IRR" hidden="1">#REF!</definedName>
    <definedName name="_52__123Graph_FCHART_1" hidden="1">#REF!</definedName>
    <definedName name="_53__123Graph_BMOF_NB" hidden="1">#REF!</definedName>
    <definedName name="_53__123Graph_XCHART_10" hidden="1">#REF!</definedName>
    <definedName name="_54__123Graph_XCHART_11" hidden="1">#REF!</definedName>
    <definedName name="_55__123Graph_XCHART_12" hidden="1">#REF!</definedName>
    <definedName name="_56__123Graph_XCHART_13" hidden="1">#REF!</definedName>
    <definedName name="_57__123Graph_XCHART_14" hidden="1">#REF!</definedName>
    <definedName name="_58__123Graph_XCHART_15" hidden="1">#REF!</definedName>
    <definedName name="_59__123Graph_XCHART_16" hidden="1">#REF!</definedName>
    <definedName name="_6___123Graph_AIRR_IRR" hidden="1">#REF!</definedName>
    <definedName name="_6___123Graph_BGráfico_4A" localSheetId="10" hidden="1">#REF!</definedName>
    <definedName name="_6___123Graph_BGráfico_4A" hidden="1">#REF!</definedName>
    <definedName name="_6___123Graph_XGráfico_4A" localSheetId="10" hidden="1">#REF!</definedName>
    <definedName name="_6___123Graph_XGráfico_4A" hidden="1">#REF!</definedName>
    <definedName name="_6__123Graph_ACHART_12" hidden="1">#REF!</definedName>
    <definedName name="_6__123Graph_AGráfico_4A" localSheetId="10" hidden="1">#REF!</definedName>
    <definedName name="_6__123Graph_AGráfico_4A" hidden="1">#REF!</definedName>
    <definedName name="_6__123Graph_BCHART_3" hidden="1">#REF!</definedName>
    <definedName name="_6__123Graph_BGráfico_4A" localSheetId="10" hidden="1">#REF!</definedName>
    <definedName name="_6__123Graph_BGráfico_4A" hidden="1">#REF!</definedName>
    <definedName name="_6__123Graph_LBL_CCart_Utilidad" localSheetId="10" hidden="1">#REF!</definedName>
    <definedName name="_6__123Graph_LBL_CCart_Utilidad" hidden="1">#REF!</definedName>
    <definedName name="_6__123Graph_XGráfico_4A" localSheetId="10" hidden="1">#REF!</definedName>
    <definedName name="_6__123Graph_XGráfico_4A" hidden="1">#REF!</definedName>
    <definedName name="_6_4____123Grap" localSheetId="10" hidden="1">#REF!</definedName>
    <definedName name="_6_4____123Grap" hidden="1">#REF!</definedName>
    <definedName name="_6_4_0__123Grap" localSheetId="10" hidden="1">#REF!</definedName>
    <definedName name="_6_4_0__123Grap" hidden="1">#REF!</definedName>
    <definedName name="_60__123Graph_XCHART_18" hidden="1">#REF!</definedName>
    <definedName name="_61__123Graph_XCHART_2" hidden="1">#REF!</definedName>
    <definedName name="_62__123Graph_XCHART_20" hidden="1">#REF!</definedName>
    <definedName name="_63__123Graph_XCHART_3" hidden="1">#REF!</definedName>
    <definedName name="_63_4_0__123Grap" localSheetId="10" hidden="1">#REF!</definedName>
    <definedName name="_63_4_0__123Grap" hidden="1">#REF!</definedName>
    <definedName name="_64__123Graph_XCHART_4" hidden="1">#REF!</definedName>
    <definedName name="_64_4_0__123Grap" localSheetId="10" hidden="1">#REF!</definedName>
    <definedName name="_64_4_0__123Grap" hidden="1">#REF!</definedName>
    <definedName name="_65__123Graph_XCHART_5" hidden="1">#REF!</definedName>
    <definedName name="_66__123Graph_XCHART_6" hidden="1">#REF!</definedName>
    <definedName name="_67__123Graph_XCHART_7" hidden="1">#REF!</definedName>
    <definedName name="_68_?16??" localSheetId="1" hidden="1">{"'????'!$A$1:$C$37"}</definedName>
    <definedName name="_68_?16??" localSheetId="0" hidden="1">{"'????'!$A$1:$C$37"}</definedName>
    <definedName name="_68_?16??" hidden="1">{"'????'!$A$1:$C$37"}</definedName>
    <definedName name="_68__123Graph_XCHART_8" hidden="1">#REF!</definedName>
    <definedName name="_69__123Graph_XCHART_9" hidden="1">#REF!</definedName>
    <definedName name="_7_????" localSheetId="1" hidden="1">{"'?????10.27??????'!$Q$16"}</definedName>
    <definedName name="_7_????" localSheetId="0" hidden="1">{"'?????10.27??????'!$Q$16"}</definedName>
    <definedName name="_7_????" hidden="1">{"'?????10.27??????'!$Q$16"}</definedName>
    <definedName name="_7______0_0_F" localSheetId="10" hidden="1">#REF!</definedName>
    <definedName name="_7______0_0_F" hidden="1">#REF!</definedName>
    <definedName name="_7___123Graph_BIRR_IRR" hidden="1">#REF!</definedName>
    <definedName name="_7___123Graph_XGráfico_4A" localSheetId="10" hidden="1">#REF!</definedName>
    <definedName name="_7___123Graph_XGráfico_4A" hidden="1">#REF!</definedName>
    <definedName name="_7__123Graph_ACHART_13" hidden="1">#REF!</definedName>
    <definedName name="_7__123Graph_AGráfico_4A" localSheetId="10" hidden="1">#REF!</definedName>
    <definedName name="_7__123Graph_AGráfico_4A" hidden="1">#REF!</definedName>
    <definedName name="_7__123Graph_BCHART_4" hidden="1">#REF!</definedName>
    <definedName name="_7__123Graph_BGráfico_4A" localSheetId="10" hidden="1">#REF!</definedName>
    <definedName name="_7__123Graph_BGráfico_4A" hidden="1">#REF!</definedName>
    <definedName name="_7__123Graph_XCart_Utilidad" localSheetId="10" hidden="1">#REF!</definedName>
    <definedName name="_7__123Graph_XCart_Utilidad" hidden="1">#REF!</definedName>
    <definedName name="_7__123Graph_XGráfico_4A" localSheetId="10" hidden="1">#REF!</definedName>
    <definedName name="_7__123Graph_XGráfico_4A" hidden="1">#REF!</definedName>
    <definedName name="_7_0_0_F" localSheetId="10" hidden="1">#REF!</definedName>
    <definedName name="_7_0_0_F" hidden="1">#REF!</definedName>
    <definedName name="_7_4_0__123Grap" localSheetId="10" hidden="1">#REF!</definedName>
    <definedName name="_7_4_0__123Grap" hidden="1">#REF!</definedName>
    <definedName name="_78__123Graph_Bｸﾞﾗﾌ_1" hidden="1">#REF!</definedName>
    <definedName name="_8_?????" localSheetId="1" hidden="1">{"DCF-???",#N/A,TRUE,"???";"DCF-??",#N/A,TRUE,"??";"DCF-??",#N/A,TRUE,"??";"DCF-??",#N/A,TRUE,"??";"DCF-??",#N/A,TRUE,"??";"DCF-??",#N/A,TRUE,"??";"DCF-??",#N/A,TRUE,"??";"DCF-??",#N/A,TRUE,"??";"DCF-??",#N/A,TRUE,"??"}</definedName>
    <definedName name="_8_?????" localSheetId="0" hidden="1">{"DCF-???",#N/A,TRUE,"???";"DCF-??",#N/A,TRUE,"??";"DCF-??",#N/A,TRUE,"??";"DCF-??",#N/A,TRUE,"??";"DCF-??",#N/A,TRUE,"??";"DCF-??",#N/A,TRUE,"??";"DCF-??",#N/A,TRUE,"??";"DCF-??",#N/A,TRUE,"??";"DCF-??",#N/A,TRUE,"??"}</definedName>
    <definedName name="_8_?????" hidden="1">{"DCF-???",#N/A,TRUE,"???";"DCF-??",#N/A,TRUE,"??";"DCF-??",#N/A,TRUE,"??";"DCF-??",#N/A,TRUE,"??";"DCF-??",#N/A,TRUE,"??";"DCF-??",#N/A,TRUE,"??";"DCF-??",#N/A,TRUE,"??";"DCF-??",#N/A,TRUE,"??";"DCF-??",#N/A,TRUE,"??"}</definedName>
    <definedName name="_8_____0_0_F" localSheetId="10" hidden="1">#REF!</definedName>
    <definedName name="_8_____0_0_F" hidden="1">#REF!</definedName>
    <definedName name="_8___123Graph_AGráfico_4A" localSheetId="10" hidden="1">#REF!</definedName>
    <definedName name="_8___123Graph_AGráfico_4A" hidden="1">#REF!</definedName>
    <definedName name="_8___123Graph_BMOF_NB" hidden="1">#REF!</definedName>
    <definedName name="_8__123Graph_ACHART_14" hidden="1">#REF!</definedName>
    <definedName name="_8__123Graph_AGráfico_4A" localSheetId="10" hidden="1">#REF!</definedName>
    <definedName name="_8__123Graph_AGráfico_4A" hidden="1">#REF!</definedName>
    <definedName name="_8__123Graph_BCHART_8" hidden="1">#REF!</definedName>
    <definedName name="_8__123Graph_BGráfico_4A" localSheetId="10" hidden="1">#REF!</definedName>
    <definedName name="_8__123Graph_BGráfico_4A" hidden="1">#REF!</definedName>
    <definedName name="_8__123Graph_XGráfico_4A" localSheetId="10" hidden="1">#REF!</definedName>
    <definedName name="_8__123Graph_XGráfico_4A" hidden="1">#REF!</definedName>
    <definedName name="_8_0_0_F" localSheetId="10" hidden="1">#REF!</definedName>
    <definedName name="_8_0_0_F" hidden="1">#REF!</definedName>
    <definedName name="_8_B_0__123Graph_XGráfico" localSheetId="10" hidden="1">#REF!</definedName>
    <definedName name="_8_B_0__123Graph_XGráfico" hidden="1">#REF!</definedName>
    <definedName name="_9_??????" localSheetId="1" hidden="1">{"'?????10.27??????'!$Q$16"}</definedName>
    <definedName name="_9_??????" localSheetId="0" hidden="1">{"'?????10.27??????'!$Q$16"}</definedName>
    <definedName name="_9_??????" hidden="1">{"'?????10.27??????'!$Q$16"}</definedName>
    <definedName name="_9____0_0_F" localSheetId="10" hidden="1">#REF!</definedName>
    <definedName name="_9____0_0_F" hidden="1">#REF!</definedName>
    <definedName name="_9___123Graph_BGráfico_4A" localSheetId="10" hidden="1">#REF!</definedName>
    <definedName name="_9___123Graph_BGráfico_4A" hidden="1">#REF!</definedName>
    <definedName name="_9___123Graph_D????_1" hidden="1">#REF!</definedName>
    <definedName name="_9___123Graph_Dｸﾞﾗﾌ_1" hidden="1">#REF!</definedName>
    <definedName name="_9__123Graph_ACHART_15" hidden="1">#REF!</definedName>
    <definedName name="_9__123Graph_BGráfico_4A" localSheetId="10" hidden="1">#REF!</definedName>
    <definedName name="_9__123Graph_BGráfico_4A" hidden="1">#REF!</definedName>
    <definedName name="_9__123Graph_CCHART_1" hidden="1">#REF!</definedName>
    <definedName name="_9__123Graph_XGráfico_4A" localSheetId="10" hidden="1">#REF!</definedName>
    <definedName name="_9__123Graph_XGráfico_4A" hidden="1">#REF!</definedName>
    <definedName name="_9_4____123Grap" localSheetId="10" hidden="1">#REF!</definedName>
    <definedName name="_9_4____123Grap" hidden="1">#REF!</definedName>
    <definedName name="_9_4_0__123Grap" localSheetId="10" hidden="1">#REF!</definedName>
    <definedName name="_9_4_0__123Grap" hidden="1">#REF!</definedName>
    <definedName name="_9B____123Graph_XGráfico" localSheetId="10" hidden="1">#REF!</definedName>
    <definedName name="_9B____123Graph_XGráfico" hidden="1">#REF!</definedName>
    <definedName name="_a1" localSheetId="1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2" localSheetId="10" hidden="1">{#N/A,#N/A,FALSE,"Costos Productos 6A";#N/A,#N/A,FALSE,"Costo Unitario Total H-94-12"}</definedName>
    <definedName name="_A2" localSheetId="1" hidden="1">{#N/A,#N/A,FALSE,"Costos Productos 6A";#N/A,#N/A,FALSE,"Costo Unitario Total H-94-12"}</definedName>
    <definedName name="_A2" localSheetId="0" hidden="1">{#N/A,#N/A,FALSE,"Costos Productos 6A";#N/A,#N/A,FALSE,"Costo Unitario Total H-94-12"}</definedName>
    <definedName name="_A2" hidden="1">{#N/A,#N/A,FALSE,"Costos Productos 6A";#N/A,#N/A,FALSE,"Costo Unitario Total H-94-12"}</definedName>
    <definedName name="_a3" localSheetId="1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0" hidden="1">{#N/A,#N/A,TRUE,"1842CWN0"}</definedName>
    <definedName name="_ABC1" localSheetId="1" hidden="1">{#N/A,#N/A,TRUE,"1842CWN0"}</definedName>
    <definedName name="_ABC1" localSheetId="0" hidden="1">{#N/A,#N/A,TRUE,"1842CWN0"}</definedName>
    <definedName name="_ABC1" hidden="1">{#N/A,#N/A,TRUE,"1842CWN0"}</definedName>
    <definedName name="_abc2" localSheetId="10" hidden="1">{#N/A,#N/A,TRUE,"1842CWN0"}</definedName>
    <definedName name="_abc2" localSheetId="1" hidden="1">{#N/A,#N/A,TRUE,"1842CWN0"}</definedName>
    <definedName name="_abc2" localSheetId="0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localSheetId="10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localSheetId="10" hidden="1">#REF!</definedName>
    <definedName name="_CMU005" hidden="1">#REF!</definedName>
    <definedName name="_DF4" hidden="1">#REF!</definedName>
    <definedName name="_Dist_Bin" localSheetId="10" hidden="1">#REF!</definedName>
    <definedName name="_Dist_Bin" hidden="1">#REF!</definedName>
    <definedName name="_ENE16" localSheetId="10" hidden="1">{#N/A,#N/A,FALSE,"Hoja1";#N/A,#N/A,FALSE,"Hoja2"}</definedName>
    <definedName name="_ENE16" localSheetId="1" hidden="1">{#N/A,#N/A,FALSE,"Hoja1";#N/A,#N/A,FALSE,"Hoja2"}</definedName>
    <definedName name="_ENE16" localSheetId="0" hidden="1">{#N/A,#N/A,FALSE,"Hoja1";#N/A,#N/A,FALSE,"Hoja2"}</definedName>
    <definedName name="_ENE16" hidden="1">{#N/A,#N/A,FALSE,"Hoja1";#N/A,#N/A,FALSE,"Hoja2"}</definedName>
    <definedName name="_F" hidden="1">#REF!</definedName>
    <definedName name="_F4" localSheetId="10" hidden="1">{"SUMINISTRO E INSTALACIÓN CANALETAS L=7.50"}</definedName>
    <definedName name="_F4" localSheetId="1" hidden="1">{"SUMINISTRO E INSTALACIÓN CANALETAS L=7.50"}</definedName>
    <definedName name="_F4" localSheetId="0" hidden="1">{"SUMINISTRO E INSTALACIÓN CANALETAS L=7.50"}</definedName>
    <definedName name="_F4" hidden="1">{"SUMINISTRO E INSTALACIÓN CANALETAS L=7.50"}</definedName>
    <definedName name="_Fill" localSheetId="10" hidden="1">#REF!</definedName>
    <definedName name="_Fill" hidden="1">#REF!</definedName>
    <definedName name="_xlnm._FilterDatabase" localSheetId="10" hidden="1">#REF!</definedName>
    <definedName name="_xlnm._FilterDatabase" hidden="1">#REF!</definedName>
    <definedName name="_g2" localSheetId="1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0" hidden="1">{#N/A,#N/A,TRUE,"1842CWN0"}</definedName>
    <definedName name="_hhg1" localSheetId="1" hidden="1">{#N/A,#N/A,TRUE,"1842CWN0"}</definedName>
    <definedName name="_hhg1" localSheetId="0" hidden="1">{#N/A,#N/A,TRUE,"1842CWN0"}</definedName>
    <definedName name="_hhg1" hidden="1">{#N/A,#N/A,TRUE,"1842CWN0"}</definedName>
    <definedName name="_HJK1" localSheetId="10" hidden="1">{#N/A,#N/A,FALSE,"PERSONAL"}</definedName>
    <definedName name="_HJK1" localSheetId="1" hidden="1">{#N/A,#N/A,FALSE,"PERSONAL"}</definedName>
    <definedName name="_HJK1" localSheetId="0" hidden="1">{#N/A,#N/A,FALSE,"PERSONAL"}</definedName>
    <definedName name="_HJK1" hidden="1">{#N/A,#N/A,FALSE,"PERSONAL"}</definedName>
    <definedName name="_i4" localSheetId="1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0" hidden="1">#REF!</definedName>
    <definedName name="_Key1" hidden="1">#REF!</definedName>
    <definedName name="_Key11" localSheetId="10" hidden="1">#REF!</definedName>
    <definedName name="_Key11" hidden="1">#REF!</definedName>
    <definedName name="_Key2" localSheetId="10" hidden="1">#REF!</definedName>
    <definedName name="_Key2" hidden="1">#N/A</definedName>
    <definedName name="_Key21" localSheetId="10" hidden="1">#REF!</definedName>
    <definedName name="_Key21" hidden="1">#REF!</definedName>
    <definedName name="_key3" localSheetId="10" hidden="1">#REF!</definedName>
    <definedName name="_key3" hidden="1">#REF!</definedName>
    <definedName name="_key31" localSheetId="10" hidden="1">#REF!</definedName>
    <definedName name="_key31" hidden="1">#REF!</definedName>
    <definedName name="_keyy1" localSheetId="10" hidden="1">#REF!</definedName>
    <definedName name="_keyy1" hidden="1">#REF!</definedName>
    <definedName name="_kjk6" localSheetId="1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ov1" localSheetId="10" hidden="1">{#N/A,#N/A,FALSE,"Hoja1";#N/A,#N/A,FALSE,"Hoja2"}</definedName>
    <definedName name="_mov1" localSheetId="1" hidden="1">{#N/A,#N/A,FALSE,"Hoja1";#N/A,#N/A,FALSE,"Hoja2"}</definedName>
    <definedName name="_mov1" localSheetId="0" hidden="1">{#N/A,#N/A,FALSE,"Hoja1";#N/A,#N/A,FALSE,"Hoja2"}</definedName>
    <definedName name="_mov1" hidden="1">{#N/A,#N/A,FALSE,"Hoja1";#N/A,#N/A,FALSE,"Hoja2"}</definedName>
    <definedName name="_n3" localSheetId="1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w1" localSheetId="10" hidden="1">{#N/A,#N/A,FALSE,"SMT1";#N/A,#N/A,FALSE,"SMT2";#N/A,#N/A,FALSE,"Summary";#N/A,#N/A,FALSE,"Graphs";#N/A,#N/A,FALSE,"4 Panel"}</definedName>
    <definedName name="_new1" localSheetId="1" hidden="1">{#N/A,#N/A,FALSE,"SMT1";#N/A,#N/A,FALSE,"SMT2";#N/A,#N/A,FALSE,"Summary";#N/A,#N/A,FALSE,"Graphs";#N/A,#N/A,FALSE,"4 Panel"}</definedName>
    <definedName name="_new1" localSheetId="0" hidden="1">{#N/A,#N/A,FALSE,"SMT1";#N/A,#N/A,FALSE,"SMT2";#N/A,#N/A,FALSE,"Summary";#N/A,#N/A,FALSE,"Graphs";#N/A,#N/A,FALSE,"4 Panel"}</definedName>
    <definedName name="_new1" hidden="1">{#N/A,#N/A,FALSE,"SMT1";#N/A,#N/A,FALSE,"SMT2";#N/A,#N/A,FALSE,"Summary";#N/A,#N/A,FALSE,"Graphs";#N/A,#N/A,FALSE,"4 Panel"}</definedName>
    <definedName name="_new10" localSheetId="10" hidden="1">{#N/A,#N/A,FALSE,"SMT1";#N/A,#N/A,FALSE,"SMT2";#N/A,#N/A,FALSE,"Summary";#N/A,#N/A,FALSE,"Graphs";#N/A,#N/A,FALSE,"4 Panel"}</definedName>
    <definedName name="_new10" localSheetId="1" hidden="1">{#N/A,#N/A,FALSE,"SMT1";#N/A,#N/A,FALSE,"SMT2";#N/A,#N/A,FALSE,"Summary";#N/A,#N/A,FALSE,"Graphs";#N/A,#N/A,FALSE,"4 Panel"}</definedName>
    <definedName name="_new10" localSheetId="0" hidden="1">{#N/A,#N/A,FALSE,"SMT1";#N/A,#N/A,FALSE,"SMT2";#N/A,#N/A,FALSE,"Summary";#N/A,#N/A,FALSE,"Graphs";#N/A,#N/A,FALSE,"4 Panel"}</definedName>
    <definedName name="_new10" hidden="1">{#N/A,#N/A,FALSE,"SMT1";#N/A,#N/A,FALSE,"SMT2";#N/A,#N/A,FALSE,"Summary";#N/A,#N/A,FALSE,"Graphs";#N/A,#N/A,FALSE,"4 Panel"}</definedName>
    <definedName name="_new2" localSheetId="10" hidden="1">{"EVA",#N/A,FALSE,"SMT2";#N/A,#N/A,FALSE,"Summary";#N/A,#N/A,FALSE,"Graphs";#N/A,#N/A,FALSE,"4 Panel"}</definedName>
    <definedName name="_new2" localSheetId="1" hidden="1">{"EVA",#N/A,FALSE,"SMT2";#N/A,#N/A,FALSE,"Summary";#N/A,#N/A,FALSE,"Graphs";#N/A,#N/A,FALSE,"4 Panel"}</definedName>
    <definedName name="_new2" localSheetId="0" hidden="1">{"EVA",#N/A,FALSE,"SMT2";#N/A,#N/A,FALSE,"Summary";#N/A,#N/A,FALSE,"Graphs";#N/A,#N/A,FALSE,"4 Panel"}</definedName>
    <definedName name="_new2" hidden="1">{"EVA",#N/A,FALSE,"SMT2";#N/A,#N/A,FALSE,"Summary";#N/A,#N/A,FALSE,"Graphs";#N/A,#N/A,FALSE,"4 Panel"}</definedName>
    <definedName name="_NEW3" localSheetId="10" hidden="1">{#N/A,#N/A,FALSE,"SMT1";#N/A,#N/A,FALSE,"SMT2";#N/A,#N/A,FALSE,"Summary";#N/A,#N/A,FALSE,"Graphs";#N/A,#N/A,FALSE,"4 Panel"}</definedName>
    <definedName name="_NEW3" localSheetId="1" hidden="1">{#N/A,#N/A,FALSE,"SMT1";#N/A,#N/A,FALSE,"SMT2";#N/A,#N/A,FALSE,"Summary";#N/A,#N/A,FALSE,"Graphs";#N/A,#N/A,FALSE,"4 Panel"}</definedName>
    <definedName name="_NEW3" localSheetId="0" hidden="1">{#N/A,#N/A,FALSE,"SMT1";#N/A,#N/A,FALSE,"SMT2";#N/A,#N/A,FALSE,"Summary";#N/A,#N/A,FALSE,"Graphs";#N/A,#N/A,FALSE,"4 Panel"}</definedName>
    <definedName name="_NEW3" hidden="1">{#N/A,#N/A,FALSE,"SMT1";#N/A,#N/A,FALSE,"SMT2";#N/A,#N/A,FALSE,"Summary";#N/A,#N/A,FALSE,"Graphs";#N/A,#N/A,FALSE,"4 Panel"}</definedName>
    <definedName name="_NEW4" localSheetId="10" hidden="1">{#N/A,#N/A,FALSE,"Full";#N/A,#N/A,FALSE,"Half";#N/A,#N/A,FALSE,"Op Expenses";#N/A,#N/A,FALSE,"Cap Charge";#N/A,#N/A,FALSE,"Cost C";#N/A,#N/A,FALSE,"PP&amp;E";#N/A,#N/A,FALSE,"R&amp;D"}</definedName>
    <definedName name="_NEW4" localSheetId="1" hidden="1">{#N/A,#N/A,FALSE,"Full";#N/A,#N/A,FALSE,"Half";#N/A,#N/A,FALSE,"Op Expenses";#N/A,#N/A,FALSE,"Cap Charge";#N/A,#N/A,FALSE,"Cost C";#N/A,#N/A,FALSE,"PP&amp;E";#N/A,#N/A,FALSE,"R&amp;D"}</definedName>
    <definedName name="_NEW4" localSheetId="0" hidden="1">{#N/A,#N/A,FALSE,"Full";#N/A,#N/A,FALSE,"Half";#N/A,#N/A,FALSE,"Op Expenses";#N/A,#N/A,FALSE,"Cap Charge";#N/A,#N/A,FALSE,"Cost C";#N/A,#N/A,FALSE,"PP&amp;E";#N/A,#N/A,FALSE,"R&amp;D"}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localSheetId="10" hidden="1">{#N/A,#N/A,FALSE,"SMT1";#N/A,#N/A,FALSE,"SMT2";#N/A,#N/A,FALSE,"Summary";#N/A,#N/A,FALSE,"Graphs";#N/A,#N/A,FALSE,"4 Panel"}</definedName>
    <definedName name="_no1" localSheetId="1" hidden="1">{#N/A,#N/A,FALSE,"SMT1";#N/A,#N/A,FALSE,"SMT2";#N/A,#N/A,FALSE,"Summary";#N/A,#N/A,FALSE,"Graphs";#N/A,#N/A,FALSE,"4 Panel"}</definedName>
    <definedName name="_no1" localSheetId="0" hidden="1">{#N/A,#N/A,FALSE,"SMT1";#N/A,#N/A,FALSE,"SMT2";#N/A,#N/A,FALSE,"Summary";#N/A,#N/A,FALSE,"Graphs";#N/A,#N/A,FALSE,"4 Panel"}</definedName>
    <definedName name="_no1" hidden="1">{#N/A,#N/A,FALSE,"SMT1";#N/A,#N/A,FALSE,"SMT2";#N/A,#N/A,FALSE,"Summary";#N/A,#N/A,FALSE,"Graphs";#N/A,#N/A,FALSE,"4 Panel"}</definedName>
    <definedName name="_no10" localSheetId="10" hidden="1">{#N/A,#N/A,FALSE,"SMT1";#N/A,#N/A,FALSE,"SMT2";#N/A,#N/A,FALSE,"Summary";#N/A,#N/A,FALSE,"Graphs";#N/A,#N/A,FALSE,"4 Panel"}</definedName>
    <definedName name="_no10" localSheetId="1" hidden="1">{#N/A,#N/A,FALSE,"SMT1";#N/A,#N/A,FALSE,"SMT2";#N/A,#N/A,FALSE,"Summary";#N/A,#N/A,FALSE,"Graphs";#N/A,#N/A,FALSE,"4 Panel"}</definedName>
    <definedName name="_no10" localSheetId="0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localSheetId="10" hidden="1">{#N/A,#N/A,FALSE,"Full";#N/A,#N/A,FALSE,"Half";#N/A,#N/A,FALSE,"Op Expenses";#N/A,#N/A,FALSE,"Cap Charge";#N/A,#N/A,FALSE,"Cost C";#N/A,#N/A,FALSE,"PP&amp;E";#N/A,#N/A,FALSE,"R&amp;D"}</definedName>
    <definedName name="_no11" localSheetId="1" hidden="1">{#N/A,#N/A,FALSE,"Full";#N/A,#N/A,FALSE,"Half";#N/A,#N/A,FALSE,"Op Expenses";#N/A,#N/A,FALSE,"Cap Charge";#N/A,#N/A,FALSE,"Cost C";#N/A,#N/A,FALSE,"PP&amp;E";#N/A,#N/A,FALSE,"R&amp;D"}</definedName>
    <definedName name="_no11" localSheetId="0" hidden="1">{#N/A,#N/A,FALSE,"Full";#N/A,#N/A,FALSE,"Half";#N/A,#N/A,FALSE,"Op Expenses";#N/A,#N/A,FALSE,"Cap Charge";#N/A,#N/A,FALSE,"Cost C";#N/A,#N/A,FALSE,"PP&amp;E";#N/A,#N/A,FALSE,"R&amp;D"}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localSheetId="10" hidden="1">{#N/A,#N/A,FALSE,"SMT1";#N/A,#N/A,FALSE,"SMT2";#N/A,#N/A,FALSE,"Summary";#N/A,#N/A,FALSE,"Graphs";#N/A,#N/A,FALSE,"4 Panel"}</definedName>
    <definedName name="_no12" localSheetId="1" hidden="1">{#N/A,#N/A,FALSE,"SMT1";#N/A,#N/A,FALSE,"SMT2";#N/A,#N/A,FALSE,"Summary";#N/A,#N/A,FALSE,"Graphs";#N/A,#N/A,FALSE,"4 Panel"}</definedName>
    <definedName name="_no12" localSheetId="0" hidden="1">{#N/A,#N/A,FALSE,"SMT1";#N/A,#N/A,FALSE,"SMT2";#N/A,#N/A,FALSE,"Summary";#N/A,#N/A,FALSE,"Graphs";#N/A,#N/A,FALSE,"4 Panel"}</definedName>
    <definedName name="_no12" hidden="1">{#N/A,#N/A,FALSE,"SMT1";#N/A,#N/A,FALSE,"SMT2";#N/A,#N/A,FALSE,"Summary";#N/A,#N/A,FALSE,"Graphs";#N/A,#N/A,FALSE,"4 Panel"}</definedName>
    <definedName name="_no13" localSheetId="10" hidden="1">{"EVA",#N/A,FALSE,"SMT2";#N/A,#N/A,FALSE,"Summary";#N/A,#N/A,FALSE,"Graphs";#N/A,#N/A,FALSE,"4 Panel"}</definedName>
    <definedName name="_no13" localSheetId="1" hidden="1">{"EVA",#N/A,FALSE,"SMT2";#N/A,#N/A,FALSE,"Summary";#N/A,#N/A,FALSE,"Graphs";#N/A,#N/A,FALSE,"4 Panel"}</definedName>
    <definedName name="_no13" localSheetId="0" hidden="1">{"EVA",#N/A,FALSE,"SMT2";#N/A,#N/A,FALSE,"Summary";#N/A,#N/A,FALSE,"Graphs";#N/A,#N/A,FALSE,"4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localSheetId="10" hidden="1">{#N/A,#N/A,FALSE,"Full";#N/A,#N/A,FALSE,"Half";#N/A,#N/A,FALSE,"Op Expenses";#N/A,#N/A,FALSE,"Cap Charge";#N/A,#N/A,FALSE,"Cost C";#N/A,#N/A,FALSE,"PP&amp;E";#N/A,#N/A,FALSE,"R&amp;D"}</definedName>
    <definedName name="_no14" localSheetId="1" hidden="1">{#N/A,#N/A,FALSE,"Full";#N/A,#N/A,FALSE,"Half";#N/A,#N/A,FALSE,"Op Expenses";#N/A,#N/A,FALSE,"Cap Charge";#N/A,#N/A,FALSE,"Cost C";#N/A,#N/A,FALSE,"PP&amp;E";#N/A,#N/A,FALSE,"R&amp;D"}</definedName>
    <definedName name="_no14" localSheetId="0" hidden="1">{#N/A,#N/A,FALSE,"Full";#N/A,#N/A,FALSE,"Half";#N/A,#N/A,FALSE,"Op Expenses";#N/A,#N/A,FALSE,"Cap Charge";#N/A,#N/A,FALSE,"Cost C";#N/A,#N/A,FALSE,"PP&amp;E";#N/A,#N/A,FALSE,"R&amp;D"}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localSheetId="10" hidden="1">{"EVA",#N/A,FALSE,"SMT2";#N/A,#N/A,FALSE,"Summary";#N/A,#N/A,FALSE,"Graphs";#N/A,#N/A,FALSE,"4 Panel"}</definedName>
    <definedName name="_no2" localSheetId="1" hidden="1">{"EVA",#N/A,FALSE,"SMT2";#N/A,#N/A,FALSE,"Summary";#N/A,#N/A,FALSE,"Graphs";#N/A,#N/A,FALSE,"4 Panel"}</definedName>
    <definedName name="_no2" localSheetId="0" hidden="1">{"EVA",#N/A,FALSE,"SMT2";#N/A,#N/A,FALSE,"Summary";#N/A,#N/A,FALSE,"Graphs";#N/A,#N/A,FALSE,"4 Panel"}</definedName>
    <definedName name="_no2" hidden="1">{"EVA",#N/A,FALSE,"SMT2";#N/A,#N/A,FALSE,"Summary";#N/A,#N/A,FALSE,"Graphs";#N/A,#N/A,FALSE,"4 Panel"}</definedName>
    <definedName name="_no3" localSheetId="10" hidden="1">{#N/A,#N/A,FALSE,"SMT1";#N/A,#N/A,FALSE,"SMT2";#N/A,#N/A,FALSE,"Summary";#N/A,#N/A,FALSE,"Graphs";#N/A,#N/A,FALSE,"4 Panel"}</definedName>
    <definedName name="_no3" localSheetId="1" hidden="1">{#N/A,#N/A,FALSE,"SMT1";#N/A,#N/A,FALSE,"SMT2";#N/A,#N/A,FALSE,"Summary";#N/A,#N/A,FALSE,"Graphs";#N/A,#N/A,FALSE,"4 Panel"}</definedName>
    <definedName name="_no3" localSheetId="0" hidden="1">{#N/A,#N/A,FALSE,"SMT1";#N/A,#N/A,FALSE,"SMT2";#N/A,#N/A,FALSE,"Summary";#N/A,#N/A,FALSE,"Graphs";#N/A,#N/A,FALSE,"4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localSheetId="10" hidden="1">{#N/A,#N/A,FALSE,"SMT1";#N/A,#N/A,FALSE,"SMT2";#N/A,#N/A,FALSE,"Summary";#N/A,#N/A,FALSE,"Graphs";#N/A,#N/A,FALSE,"4 Panel"}</definedName>
    <definedName name="_no4" localSheetId="1" hidden="1">{#N/A,#N/A,FALSE,"SMT1";#N/A,#N/A,FALSE,"SMT2";#N/A,#N/A,FALSE,"Summary";#N/A,#N/A,FALSE,"Graphs";#N/A,#N/A,FALSE,"4 Panel"}</definedName>
    <definedName name="_no4" localSheetId="0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localSheetId="10" hidden="1">{#N/A,#N/A,FALSE,"Full";#N/A,#N/A,FALSE,"Half";#N/A,#N/A,FALSE,"Op Expenses";#N/A,#N/A,FALSE,"Cap Charge";#N/A,#N/A,FALSE,"Cost C";#N/A,#N/A,FALSE,"PP&amp;E";#N/A,#N/A,FALSE,"R&amp;D"}</definedName>
    <definedName name="_no5" localSheetId="1" hidden="1">{#N/A,#N/A,FALSE,"Full";#N/A,#N/A,FALSE,"Half";#N/A,#N/A,FALSE,"Op Expenses";#N/A,#N/A,FALSE,"Cap Charge";#N/A,#N/A,FALSE,"Cost C";#N/A,#N/A,FALSE,"PP&amp;E";#N/A,#N/A,FALSE,"R&amp;D"}</definedName>
    <definedName name="_no5" localSheetId="0" hidden="1">{#N/A,#N/A,FALSE,"Full";#N/A,#N/A,FALSE,"Half";#N/A,#N/A,FALSE,"Op Expenses";#N/A,#N/A,FALSE,"Cap Charge";#N/A,#N/A,FALSE,"Cost C";#N/A,#N/A,FALSE,"PP&amp;E";#N/A,#N/A,FALSE,"R&amp;D"}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localSheetId="10" hidden="1">{"EVA",#N/A,FALSE,"SMT2";#N/A,#N/A,FALSE,"Summary";#N/A,#N/A,FALSE,"Graphs";#N/A,#N/A,FALSE,"4 Panel"}</definedName>
    <definedName name="_no6" localSheetId="1" hidden="1">{"EVA",#N/A,FALSE,"SMT2";#N/A,#N/A,FALSE,"Summary";#N/A,#N/A,FALSE,"Graphs";#N/A,#N/A,FALSE,"4 Panel"}</definedName>
    <definedName name="_no6" localSheetId="0" hidden="1">{"EVA",#N/A,FALSE,"SMT2";#N/A,#N/A,FALSE,"Summary";#N/A,#N/A,FALSE,"Graphs";#N/A,#N/A,FALSE,"4 Panel"}</definedName>
    <definedName name="_no6" hidden="1">{"EVA",#N/A,FALSE,"SMT2";#N/A,#N/A,FALSE,"Summary";#N/A,#N/A,FALSE,"Graphs";#N/A,#N/A,FALSE,"4 Panel"}</definedName>
    <definedName name="_no7" localSheetId="10" hidden="1">{"EVA",#N/A,FALSE,"SMT2";#N/A,#N/A,FALSE,"Summary";#N/A,#N/A,FALSE,"Graphs";#N/A,#N/A,FALSE,"4 Panel"}</definedName>
    <definedName name="_no7" localSheetId="1" hidden="1">{"EVA",#N/A,FALSE,"SMT2";#N/A,#N/A,FALSE,"Summary";#N/A,#N/A,FALSE,"Graphs";#N/A,#N/A,FALSE,"4 Panel"}</definedName>
    <definedName name="_no7" localSheetId="0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localSheetId="10" hidden="1">{"EVA",#N/A,FALSE,"SMT2";#N/A,#N/A,FALSE,"Summary";#N/A,#N/A,FALSE,"Graphs";#N/A,#N/A,FALSE,"4 Panel"}</definedName>
    <definedName name="_no8" localSheetId="1" hidden="1">{"EVA",#N/A,FALSE,"SMT2";#N/A,#N/A,FALSE,"Summary";#N/A,#N/A,FALSE,"Graphs";#N/A,#N/A,FALSE,"4 Panel"}</definedName>
    <definedName name="_no8" localSheetId="0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localSheetId="10" hidden="1">{"EVA",#N/A,FALSE,"SMT2";#N/A,#N/A,FALSE,"Summary";#N/A,#N/A,FALSE,"Graphs";#N/A,#N/A,FALSE,"4 Panel"}</definedName>
    <definedName name="_no9" localSheetId="1" hidden="1">{"EVA",#N/A,FALSE,"SMT2";#N/A,#N/A,FALSE,"Summary";#N/A,#N/A,FALSE,"Graphs";#N/A,#N/A,FALSE,"4 Panel"}</definedName>
    <definedName name="_no9" localSheetId="0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yn7" localSheetId="1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 localSheetId="0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4" localSheetId="1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10" hidden="1">0</definedName>
    <definedName name="_Order1" hidden="1">255</definedName>
    <definedName name="_Order2" localSheetId="10" hidden="1">255</definedName>
    <definedName name="_Order2" hidden="1">255</definedName>
    <definedName name="_p6" localSheetId="1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10" hidden="1">#REF!</definedName>
    <definedName name="_Parse_Out" hidden="1">#REF!</definedName>
    <definedName name="_PUE2" localSheetId="10" hidden="1">{#N/A,#N/A,FALSE,"PERSONAL"}</definedName>
    <definedName name="_PUE2" localSheetId="1" hidden="1">{#N/A,#N/A,FALSE,"PERSONAL"}</definedName>
    <definedName name="_PUE2" localSheetId="0" hidden="1">{#N/A,#N/A,FALSE,"PERSONAL"}</definedName>
    <definedName name="_PUE2" hidden="1">{#N/A,#N/A,FALSE,"PERSONAL"}</definedName>
    <definedName name="_pue3" localSheetId="10" hidden="1">{#N/A,#N/A,FALSE,"PERSONAL"}</definedName>
    <definedName name="_pue3" localSheetId="1" hidden="1">{#N/A,#N/A,FALSE,"PERSONAL"}</definedName>
    <definedName name="_pue3" localSheetId="0" hidden="1">{#N/A,#N/A,FALSE,"PERSONAL"}</definedName>
    <definedName name="_pue3" hidden="1">{#N/A,#N/A,FALSE,"PERSONAL"}</definedName>
    <definedName name="_PUE4" localSheetId="10" hidden="1">{#N/A,#N/A,FALSE,"PERSONAL"}</definedName>
    <definedName name="_PUE4" localSheetId="1" hidden="1">{#N/A,#N/A,FALSE,"PERSONAL"}</definedName>
    <definedName name="_PUE4" localSheetId="0" hidden="1">{#N/A,#N/A,FALSE,"PERSONAL"}</definedName>
    <definedName name="_PUE4" hidden="1">{#N/A,#N/A,FALSE,"PERSONAL"}</definedName>
    <definedName name="_PUE5" localSheetId="10" hidden="1">{#N/A,#N/A,FALSE,"PERSONAL"}</definedName>
    <definedName name="_PUE5" localSheetId="1" hidden="1">{#N/A,#N/A,FALSE,"PERSONAL"}</definedName>
    <definedName name="_PUE5" localSheetId="0" hidden="1">{#N/A,#N/A,FALSE,"PERSONAL"}</definedName>
    <definedName name="_PUE5" hidden="1">{#N/A,#N/A,FALSE,"PERSONAL"}</definedName>
    <definedName name="_PUE6" localSheetId="10" hidden="1">{#N/A,#N/A,FALSE,"PERSONAL"}</definedName>
    <definedName name="_PUE6" localSheetId="1" hidden="1">{#N/A,#N/A,FALSE,"PERSONAL"}</definedName>
    <definedName name="_PUE6" localSheetId="0" hidden="1">{#N/A,#N/A,FALSE,"PERSONAL"}</definedName>
    <definedName name="_PUE6" hidden="1">{#N/A,#N/A,FALSE,"PERSONAL"}</definedName>
    <definedName name="_PUE7" localSheetId="10" hidden="1">{#N/A,#N/A,FALSE,"PERSONAL"}</definedName>
    <definedName name="_PUE7" localSheetId="1" hidden="1">{#N/A,#N/A,FALSE,"PERSONAL"}</definedName>
    <definedName name="_PUE7" localSheetId="0" hidden="1">{#N/A,#N/A,FALSE,"PERSONAL"}</definedName>
    <definedName name="_PUE7" hidden="1">{#N/A,#N/A,FALSE,"PERSONAL"}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egression_Out" localSheetId="10" hidden="1">#N/A</definedName>
    <definedName name="_Regression_Out" hidden="1">#N/A</definedName>
    <definedName name="_Regression_X" localSheetId="10" hidden="1">#N/A</definedName>
    <definedName name="_Regression_X" hidden="1">#N/A</definedName>
    <definedName name="_REGRESSION_XNJA" localSheetId="10" hidden="1">#REF!</definedName>
    <definedName name="_REGRESSION_XNJA" hidden="1">#REF!</definedName>
    <definedName name="_Regression_Y" localSheetId="10" hidden="1">#N/A</definedName>
    <definedName name="_Regression_Y" hidden="1">#N/A</definedName>
    <definedName name="_rtu6" localSheetId="1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cenchg1" localSheetId="10" hidden="1">#REF!</definedName>
    <definedName name="_scenchg1" hidden="1">#REF!</definedName>
    <definedName name="_Sort" localSheetId="10" hidden="1">#REF!</definedName>
    <definedName name="_Sort" hidden="1">#REF!</definedName>
    <definedName name="_SortNJA" localSheetId="10" hidden="1">#REF!</definedName>
    <definedName name="_SortNJA" hidden="1">#REF!</definedName>
    <definedName name="_t3" localSheetId="1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le1_In1" localSheetId="10" hidden="1">#REF!</definedName>
    <definedName name="_Table1_In1" hidden="1">#REF!</definedName>
    <definedName name="_Table1_Out" localSheetId="10" hidden="1">#REF!</definedName>
    <definedName name="_Table1_Out" hidden="1">#REF!</definedName>
    <definedName name="_Table2_In1" localSheetId="10" hidden="1">#REF!</definedName>
    <definedName name="_Table2_In1" hidden="1">#REF!</definedName>
    <definedName name="_Table2_In2" localSheetId="10" hidden="1">#REF!</definedName>
    <definedName name="_Table2_In2" hidden="1">#REF!</definedName>
    <definedName name="_Table2_Out" localSheetId="10" hidden="1">#REF!</definedName>
    <definedName name="_Table2_Out" hidden="1">#REF!</definedName>
    <definedName name="_u4" localSheetId="1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0" hidden="1">#REF!</definedName>
    <definedName name="_unj1" hidden="1">#REF!</definedName>
    <definedName name="_ur7" localSheetId="1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d" localSheetId="1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7D" localSheetId="1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7D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7D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7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_DOCTOPS" hidden="1">"AAA_SET"</definedName>
    <definedName name="AAA_duser" hidden="1">"OFF"</definedName>
    <definedName name="aaaaaaaa" localSheetId="1" hidden="1">{#N/A,#N/A,FALSE,"c_finanz";#N/A,#N/A,FALSE,"c_eco";#N/A,#N/A,FALSE,"investimenti";#N/A,#N/A,FALSE,"tir"}</definedName>
    <definedName name="aaaaaaaa" localSheetId="0" hidden="1">{#N/A,#N/A,FALSE,"c_finanz";#N/A,#N/A,FALSE,"c_eco";#N/A,#N/A,FALSE,"investimenti";#N/A,#N/A,FALSE,"tir"}</definedName>
    <definedName name="aaaaaaaa" hidden="1">{#N/A,#N/A,FALSE,"c_finanz";#N/A,#N/A,FALSE,"c_eco";#N/A,#N/A,FALSE,"investimenti";#N/A,#N/A,FALSE,"tir"}</definedName>
    <definedName name="AAAAAAAAAAAAAAAAAA" hidden="1">#REF!</definedName>
    <definedName name="aaaaaaaaaaaaaaaaaaaaaa" hidden="1">#REF!</definedName>
    <definedName name="aaaaas" localSheetId="1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s" localSheetId="1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localSheetId="10" hidden="1">#REF!</definedName>
    <definedName name="ABCD" hidden="1">#REF!</definedName>
    <definedName name="ABCDE" localSheetId="10" hidden="1">#REF!</definedName>
    <definedName name="ABCDE" hidden="1">#REF!</definedName>
    <definedName name="AC" localSheetId="10" hidden="1">{#N/A,#N/A,TRUE,"INGENIERIA";#N/A,#N/A,TRUE,"COMPRAS";#N/A,#N/A,TRUE,"DIRECCION";#N/A,#N/A,TRUE,"RESUMEN"}</definedName>
    <definedName name="AC" localSheetId="1" hidden="1">{#N/A,#N/A,TRUE,"INGENIERIA";#N/A,#N/A,TRUE,"COMPRAS";#N/A,#N/A,TRUE,"DIRECCION";#N/A,#N/A,TRUE,"RESUMEN"}</definedName>
    <definedName name="AC" localSheetId="0" hidden="1">{#N/A,#N/A,TRUE,"INGENIERIA";#N/A,#N/A,TRUE,"COMPRAS";#N/A,#N/A,TRUE,"DIRECCION";#N/A,#N/A,TRUE,"RESUMEN"}</definedName>
    <definedName name="AC" hidden="1">{#N/A,#N/A,TRUE,"INGENIERIA";#N/A,#N/A,TRUE,"COMPRAS";#N/A,#N/A,TRUE,"DIRECCION";#N/A,#N/A,TRUE,"RESUMEN"}</definedName>
    <definedName name="AccessDatabase" localSheetId="10" hidden="1">"C:\C-314\VOLUMENES\volfin4.mdb"</definedName>
    <definedName name="AccessDatabase" hidden="1">"A:\SAIN.mdb"</definedName>
    <definedName name="actamodifacion" localSheetId="10" hidden="1">{#N/A,#N/A,TRUE,"Unifilar"}</definedName>
    <definedName name="actamodifacion" localSheetId="1" hidden="1">{#N/A,#N/A,TRUE,"Unifilar"}</definedName>
    <definedName name="actamodifacion" localSheetId="0" hidden="1">{#N/A,#N/A,TRUE,"Unifilar"}</definedName>
    <definedName name="actamodifacion" hidden="1">{#N/A,#N/A,TRUE,"Unifilar"}</definedName>
    <definedName name="AD" localSheetId="1" hidden="1">{#N/A,#N/A,TRUE,"INGENIERIA";#N/A,#N/A,TRUE,"COMPRAS";#N/A,#N/A,TRUE,"DIRECCION";#N/A,#N/A,TRUE,"RESUMEN"}</definedName>
    <definedName name="AD" localSheetId="0" hidden="1">{#N/A,#N/A,TRUE,"INGENIERIA";#N/A,#N/A,TRUE,"COMPRAS";#N/A,#N/A,TRUE,"DIRECCION";#N/A,#N/A,TRUE,"RESUMEN"}</definedName>
    <definedName name="AD" hidden="1">{#N/A,#N/A,TRUE,"INGENIERIA";#N/A,#N/A,TRUE,"COMPRAS";#N/A,#N/A,TRUE,"DIRECCION";#N/A,#N/A,TRUE,"RESUMEN"}</definedName>
    <definedName name="adf" localSheetId="1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localSheetId="1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GSDB" localSheetId="1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kjgfkjgh" localSheetId="10" hidden="1">{#N/A,#N/A,FALSE,"CIBHA05A";#N/A,#N/A,FALSE,"CIBHA05B"}</definedName>
    <definedName name="adkjgfkjgh" localSheetId="1" hidden="1">{#N/A,#N/A,FALSE,"CIBHA05A";#N/A,#N/A,FALSE,"CIBHA05B"}</definedName>
    <definedName name="adkjgfkjgh" localSheetId="0" hidden="1">{#N/A,#N/A,FALSE,"CIBHA05A";#N/A,#N/A,FALSE,"CIBHA05B"}</definedName>
    <definedName name="adkjgfkjgh" hidden="1">{#N/A,#N/A,FALSE,"CIBHA05A";#N/A,#N/A,FALSE,"CIBHA05B"}</definedName>
    <definedName name="ads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localSheetId="1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1" hidden="1">{#N/A,#N/A,TRUE,"INGENIERIA";#N/A,#N/A,TRUE,"COMPRAS";#N/A,#N/A,TRUE,"DIRECCION";#N/A,#N/A,TRUE,"RESUMEN"}</definedName>
    <definedName name="AE" localSheetId="0" hidden="1">{#N/A,#N/A,TRUE,"INGENIERIA";#N/A,#N/A,TRUE,"COMPRAS";#N/A,#N/A,TRUE,"DIRECCION";#N/A,#N/A,TRUE,"RESUMEN"}</definedName>
    <definedName name="AE" hidden="1">{#N/A,#N/A,TRUE,"INGENIERIA";#N/A,#N/A,TRUE,"COMPRAS";#N/A,#N/A,TRUE,"DIRECCION";#N/A,#N/A,TRUE,"RESUMEN"}</definedName>
    <definedName name="aedawra" localSheetId="1" hidden="1">{#N/A,#N/A,TRUE,"INGENIERIA";#N/A,#N/A,TRUE,"COMPRAS";#N/A,#N/A,TRUE,"DIRECCION";#N/A,#N/A,TRUE,"RESUMEN"}</definedName>
    <definedName name="aedawra" localSheetId="0" hidden="1">{#N/A,#N/A,TRUE,"INGENIERIA";#N/A,#N/A,TRUE,"COMPRAS";#N/A,#N/A,TRUE,"DIRECCION";#N/A,#N/A,TRUE,"RESUMEN"}</definedName>
    <definedName name="aedawra" hidden="1">{#N/A,#N/A,TRUE,"INGENIERIA";#N/A,#N/A,TRUE,"COMPRAS";#N/A,#N/A,TRUE,"DIRECCION";#N/A,#N/A,TRUE,"RESUMEN"}</definedName>
    <definedName name="aefa" localSheetId="1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 localSheetId="1" hidden="1">{#N/A,#N/A,TRUE,"INGENIERIA";#N/A,#N/A,TRUE,"COMPRAS";#N/A,#N/A,TRUE,"DIRECCION";#N/A,#N/A,TRUE,"RESUMEN"}</definedName>
    <definedName name="AH" localSheetId="0" hidden="1">{#N/A,#N/A,TRUE,"INGENIERIA";#N/A,#N/A,TRUE,"COMPRAS";#N/A,#N/A,TRUE,"DIRECCION";#N/A,#N/A,TRUE,"RESUMEN"}</definedName>
    <definedName name="AH" hidden="1">{#N/A,#N/A,TRUE,"INGENIERIA";#N/A,#N/A,TRUE,"COMPRAS";#N/A,#N/A,TRUE,"DIRECCION";#N/A,#N/A,TRUE,"RESUMEN"}</definedName>
    <definedName name="Ajusteinf" localSheetId="10" hidden="1">{#N/A,#N/A,FALSE,"Costos Productos 6A";#N/A,#N/A,FALSE,"Costo Unitario Total H-94-12"}</definedName>
    <definedName name="Ajusteinf" localSheetId="1" hidden="1">{#N/A,#N/A,FALSE,"Costos Productos 6A";#N/A,#N/A,FALSE,"Costo Unitario Total H-94-12"}</definedName>
    <definedName name="Ajusteinf" localSheetId="0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10" hidden="1">{#N/A,#N/A,FALSE,"Costos Productos 6A";#N/A,#N/A,FALSE,"Costo Unitario Total H-94-12"}</definedName>
    <definedName name="AJUSTPTO" localSheetId="1" hidden="1">{#N/A,#N/A,FALSE,"Costos Productos 6A";#N/A,#N/A,FALSE,"Costo Unitario Total H-94-12"}</definedName>
    <definedName name="AJUSTPTO" localSheetId="0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mbiental" localSheetId="10" hidden="1">#REF!</definedName>
    <definedName name="ambiental" hidden="1">#REF!</definedName>
    <definedName name="Analyst" localSheetId="10" hidden="1">#REF!</definedName>
    <definedName name="Analyst" hidden="1">#REF!</definedName>
    <definedName name="ando" localSheetId="1" hidden="1">{"'下期集計（10.27迄・速報値）'!$Q$16"}</definedName>
    <definedName name="ando" localSheetId="0" hidden="1">{"'下期集計（10.27迄・速報値）'!$Q$16"}</definedName>
    <definedName name="ando" hidden="1">{"'下期集計（10.27迄・速報値）'!$Q$16"}</definedName>
    <definedName name="anscount" localSheetId="10" hidden="1">1</definedName>
    <definedName name="anscount" hidden="1">2</definedName>
    <definedName name="APUO" localSheetId="10" hidden="1">#REF!</definedName>
    <definedName name="APUO" hidden="1">#REF!</definedName>
    <definedName name="aqaq" localSheetId="1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8">PTO!$A$1:$H$56</definedName>
    <definedName name="arg" localSheetId="10" hidden="1">#REF!</definedName>
    <definedName name="arg" hidden="1">#REF!</definedName>
    <definedName name="AS2DocOpenMode" hidden="1">"AS2DocumentEdit"</definedName>
    <definedName name="AS2HasNoAutoHeaderFooter" hidden="1">" "</definedName>
    <definedName name="AS2ReportLS" hidden="1">1</definedName>
    <definedName name="AS2SyncStepLS" hidden="1">0</definedName>
    <definedName name="AS2VersionLS" hidden="1">300</definedName>
    <definedName name="ASASDA" localSheetId="1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localSheetId="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localSheetId="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D" localSheetId="10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" localSheetId="1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ds" localSheetId="1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lkjh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F" hidden="1">#REF!</definedName>
    <definedName name="asfasd" localSheetId="1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KDHSD" localSheetId="10" hidden="1">{#N/A,#N/A,FALSE,"Costos Productos 6A";#N/A,#N/A,FALSE,"Costo Unitario Total H-94-12"}</definedName>
    <definedName name="ASKDHSD" localSheetId="1" hidden="1">{#N/A,#N/A,FALSE,"Costos Productos 6A";#N/A,#N/A,FALSE,"Costo Unitario Total H-94-12"}</definedName>
    <definedName name="ASKDHSD" localSheetId="0" hidden="1">{#N/A,#N/A,FALSE,"Costos Productos 6A";#N/A,#N/A,FALSE,"Costo Unitario Total H-94-12"}</definedName>
    <definedName name="ASKDHSD" hidden="1">{#N/A,#N/A,FALSE,"Costos Productos 6A";#N/A,#N/A,FALSE,"Costo Unitario Total H-94-12"}</definedName>
    <definedName name="asojkdr" localSheetId="1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UI" localSheetId="1" hidden="1">{#N/A,#N/A,TRUE,"INGENIERIA";#N/A,#N/A,TRUE,"COMPRAS";#N/A,#N/A,TRUE,"DIRECCION";#N/A,#N/A,TRUE,"RESUMEN"}</definedName>
    <definedName name="AUI" localSheetId="0" hidden="1">{#N/A,#N/A,TRUE,"INGENIERIA";#N/A,#N/A,TRUE,"COMPRAS";#N/A,#N/A,TRUE,"DIRECCION";#N/A,#N/A,TRUE,"RESUMEN"}</definedName>
    <definedName name="AUI" hidden="1">{#N/A,#N/A,TRUE,"INGENIERIA";#N/A,#N/A,TRUE,"COMPRAS";#N/A,#N/A,TRUE,"DIRECCION";#N/A,#N/A,TRUE,"RESUMEN"}</definedName>
    <definedName name="AWD" localSheetId="10" hidden="1">{#N/A,#N/A,FALSE,"PERSONAL"}</definedName>
    <definedName name="AWD" localSheetId="1" hidden="1">{#N/A,#N/A,FALSE,"PERSONAL"}</definedName>
    <definedName name="AWD" localSheetId="0" hidden="1">{#N/A,#N/A,FALSE,"PERSONAL"}</definedName>
    <definedName name="AWD" hidden="1">{#N/A,#N/A,FALSE,"PERSONAL"}</definedName>
    <definedName name="axyzqerojhvdakjdvasdas" localSheetId="10" hidden="1">{"via1",#N/A,TRUE,"general";"via2",#N/A,TRUE,"general";"via3",#N/A,TRUE,"general"}</definedName>
    <definedName name="axyzqerojhvdakjdvasdas" localSheetId="1" hidden="1">{"via1",#N/A,TRUE,"general";"via2",#N/A,TRUE,"general";"via3",#N/A,TRUE,"general"}</definedName>
    <definedName name="axyzqerojhvdakjdvasdas" localSheetId="0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ARZALOZA" localSheetId="10" hidden="1">{#N/A,#N/A,TRUE,"Unifilar"}</definedName>
    <definedName name="BARZALOZA" localSheetId="1" hidden="1">{#N/A,#N/A,TRUE,"Unifilar"}</definedName>
    <definedName name="BARZALOZA" localSheetId="0" hidden="1">{#N/A,#N/A,TRUE,"Unifilar"}</definedName>
    <definedName name="BARZALOZA" hidden="1">{#N/A,#N/A,TRUE,"Unifilar"}</definedName>
    <definedName name="bbbbbb" localSheetId="1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dgh" localSheetId="10" hidden="1">{#N/A,#N/A,FALSE,"PERSONAL"}</definedName>
    <definedName name="bfdgh" localSheetId="1" hidden="1">{#N/A,#N/A,FALSE,"PERSONAL"}</definedName>
    <definedName name="bfdgh" localSheetId="0" hidden="1">{#N/A,#N/A,FALSE,"PERSONAL"}</definedName>
    <definedName name="bfdgh" hidden="1">{#N/A,#N/A,FALSE,"PERSONAL"}</definedName>
    <definedName name="bfnfv" localSheetId="1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_Del" hidden="1">15</definedName>
    <definedName name="BG_Ins" hidden="1">4</definedName>
    <definedName name="BG_Mod" hidden="1">6</definedName>
    <definedName name="bgb" localSheetId="1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10" hidden="1">#REF!</definedName>
    <definedName name="BLPH1" hidden="1">#REF!</definedName>
    <definedName name="BLPH10" localSheetId="10" hidden="1">#REF!</definedName>
    <definedName name="BLPH10" hidden="1">#REF!</definedName>
    <definedName name="BLPH11" localSheetId="10" hidden="1">#REF!</definedName>
    <definedName name="BLPH11" hidden="1">#REF!</definedName>
    <definedName name="BLPH12" localSheetId="10" hidden="1">#REF!</definedName>
    <definedName name="BLPH12" hidden="1">#REF!</definedName>
    <definedName name="BLPH13" localSheetId="10" hidden="1">#REF!</definedName>
    <definedName name="BLPH13" hidden="1">#REF!</definedName>
    <definedName name="BLPH14" localSheetId="10" hidden="1">#REF!</definedName>
    <definedName name="BLPH14" hidden="1">#REF!</definedName>
    <definedName name="BLPH15" localSheetId="10" hidden="1">#REF!</definedName>
    <definedName name="BLPH15" hidden="1">#REF!</definedName>
    <definedName name="BLPH16" localSheetId="10" hidden="1">#REF!</definedName>
    <definedName name="BLPH16" hidden="1">#REF!</definedName>
    <definedName name="BLPH17" localSheetId="10" hidden="1">#REF!</definedName>
    <definedName name="BLPH17" hidden="1">#REF!</definedName>
    <definedName name="BLPH18" localSheetId="10" hidden="1">#REF!</definedName>
    <definedName name="BLPH18" hidden="1">#REF!</definedName>
    <definedName name="BLPH19" localSheetId="10" hidden="1">#REF!</definedName>
    <definedName name="BLPH19" hidden="1">#REF!</definedName>
    <definedName name="BLPH2" localSheetId="10" hidden="1">#REF!</definedName>
    <definedName name="BLPH2" hidden="1">#REF!</definedName>
    <definedName name="BLPH3" localSheetId="10" hidden="1">#REF!</definedName>
    <definedName name="BLPH3" hidden="1">#REF!</definedName>
    <definedName name="BLPH4" localSheetId="10" hidden="1">#REF!</definedName>
    <definedName name="BLPH4" hidden="1">#REF!</definedName>
    <definedName name="BLPH5" localSheetId="10" hidden="1">#REF!</definedName>
    <definedName name="BLPH5" hidden="1">#REF!</definedName>
    <definedName name="BLPH6" localSheetId="10" hidden="1">#REF!</definedName>
    <definedName name="BLPH6" hidden="1">#REF!</definedName>
    <definedName name="BLPH7" localSheetId="10" hidden="1">#REF!</definedName>
    <definedName name="BLPH7" hidden="1">#REF!</definedName>
    <definedName name="BLPH8" localSheetId="10" hidden="1">#REF!</definedName>
    <definedName name="BLPH8" hidden="1">#REF!</definedName>
    <definedName name="BLPH9" localSheetId="10" hidden="1">#REF!</definedName>
    <definedName name="BLPH9" hidden="1">#REF!</definedName>
    <definedName name="BOX__" localSheetId="10" hidden="1">#REF!</definedName>
    <definedName name="BOX__" hidden="1">#REF!</definedName>
    <definedName name="br" localSheetId="1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idge" localSheetId="1" hidden="1">{"'Highlights'!$A$1:$M$123"}</definedName>
    <definedName name="Bridge" localSheetId="0" hidden="1">{"'Highlights'!$A$1:$M$123"}</definedName>
    <definedName name="Bridge" hidden="1">{"'Highlights'!$A$1:$M$123"}</definedName>
    <definedName name="BS_Data_Col" localSheetId="10" hidden="1">#REF!</definedName>
    <definedName name="BS_Data_Col" hidden="1">#REF!</definedName>
    <definedName name="bsb" localSheetId="1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b" localSheetId="10" hidden="1">#REF!</definedName>
    <definedName name="BSpb" hidden="1">#REF!</definedName>
    <definedName name="bspoi" localSheetId="1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vsdbnsrhgvbehbnjsrt" localSheetId="10" hidden="1">{#N/A,#N/A,FALSE,"Costos Productos 6A";#N/A,#N/A,FALSE,"Costo Unitario Total H-94-12"}</definedName>
    <definedName name="bvsdbnsrhgvbehbnjsrt" localSheetId="1" hidden="1">{#N/A,#N/A,FALSE,"Costos Productos 6A";#N/A,#N/A,FALSE,"Costo Unitario Total H-94-12"}</definedName>
    <definedName name="bvsdbnsrhgvbehbnjsrt" localSheetId="0" hidden="1">{#N/A,#N/A,FALSE,"Costos Productos 6A";#N/A,#N/A,FALSE,"Costo Unitario Total H-94-12"}</definedName>
    <definedName name="bvsdbnsrhgvbehbnjsrt" hidden="1">{#N/A,#N/A,FALSE,"Costos Productos 6A";#N/A,#N/A,FALSE,"Costo Unitario Total H-94-12"}</definedName>
    <definedName name="by" localSheetId="1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ABCELAR" localSheetId="10" hidden="1">{#N/A,#N/A,FALSE,"Costos Productos 6A";#N/A,#N/A,FALSE,"Costo Unitario Total H-94-12"}</definedName>
    <definedName name="CABCELAR" localSheetId="1" hidden="1">{#N/A,#N/A,FALSE,"Costos Productos 6A";#N/A,#N/A,FALSE,"Costo Unitario Total H-94-12"}</definedName>
    <definedName name="CABCELAR" localSheetId="0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C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nti" localSheetId="10" hidden="1">{#N/A,#N/A,TRUE,"CODIGO DEPENDENCIA"}</definedName>
    <definedName name="canti" localSheetId="1" hidden="1">{#N/A,#N/A,TRUE,"CODIGO DEPENDENCIA"}</definedName>
    <definedName name="canti" localSheetId="0" hidden="1">{#N/A,#N/A,TRUE,"CODIGO DEPENDENCIA"}</definedName>
    <definedName name="canti" hidden="1">{#N/A,#N/A,TRUE,"CODIGO DEPENDENCIA"}</definedName>
    <definedName name="CantObraDefinitiva" localSheetId="10" hidden="1">{"SUMINISTRO E INSTALACIÓN CANALETAS L=7.50"}</definedName>
    <definedName name="CantObraDefinitiva" localSheetId="1" hidden="1">{"SUMINISTRO E INSTALACIÓN CANALETAS L=7.50"}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pitalpb" localSheetId="10" hidden="1">#REF!</definedName>
    <definedName name="Capitalpb" hidden="1">#REF!</definedName>
    <definedName name="CapitalStructure" localSheetId="10" hidden="1">#REF!</definedName>
    <definedName name="CapitalStructure" hidden="1">#REF!</definedName>
    <definedName name="CARLOSC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sh" localSheetId="10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cash" localSheetId="1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cash" localSheetId="0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cash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Cashpb" localSheetId="10" hidden="1">#REF!</definedName>
    <definedName name="Cashpb" hidden="1">#REF!</definedName>
    <definedName name="cb_sChartE2218BA_opts" hidden="1">"1, 4, 1, False, 2, False, False, , 0, False, True, 1, 1"</definedName>
    <definedName name="cb_sChartE221ADA_opts" hidden="1">"1, 5, 1, False, 2, False, False, , 0, False, False, 1, 1"</definedName>
    <definedName name="CBWorkbookPriority" localSheetId="10" hidden="1">-562754140</definedName>
    <definedName name="CBWorkbookPriority" hidden="1">-562754140</definedName>
    <definedName name="cc" hidden="1">#REF!</definedName>
    <definedName name="CCC" localSheetId="10" hidden="1">{#N/A,#N/A,FALSE,"Costos Productos 6A";#N/A,#N/A,FALSE,"Costo Unitario Total H-94-12"}</definedName>
    <definedName name="CCC" localSheetId="1" hidden="1">{#N/A,#N/A,FALSE,"Costos Productos 6A";#N/A,#N/A,FALSE,"Costo Unitario Total H-94-12"}</definedName>
    <definedName name="CCC" localSheetId="0" hidden="1">{#N/A,#N/A,FALSE,"Costos Productos 6A";#N/A,#N/A,FALSE,"Costo Unitario Total H-94-12"}</definedName>
    <definedName name="CCC" hidden="1">{#N/A,#N/A,FALSE,"Costos Productos 6A";#N/A,#N/A,FALSE,"Costo Unitario Total H-94-12"}</definedName>
    <definedName name="ccccc" localSheetId="1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10" hidden="1">#REF!</definedName>
    <definedName name="cdfgrtfd" hidden="1">#REF!</definedName>
    <definedName name="cdretuiojhf" localSheetId="10" hidden="1">#REF!</definedName>
    <definedName name="cdretuiojhf" hidden="1">#REF!</definedName>
    <definedName name="cds" localSheetId="10" hidden="1">{#N/A,#N/A,FALSE,"sumi ";#N/A,#N/A,FALSE,"RESUMEN"}</definedName>
    <definedName name="cds" localSheetId="1" hidden="1">{#N/A,#N/A,FALSE,"sumi ";#N/A,#N/A,FALSE,"RESUMEN"}</definedName>
    <definedName name="cds" localSheetId="0" hidden="1">{#N/A,#N/A,FALSE,"sumi ";#N/A,#N/A,FALSE,"RESUMEN"}</definedName>
    <definedName name="cds" hidden="1">{#N/A,#N/A,FALSE,"sumi ";#N/A,#N/A,FALSE,"RESUMEN"}</definedName>
    <definedName name="ceerf" localSheetId="1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R" localSheetId="10" hidden="1">{#N/A,#N/A,FALSE,"PROPON.2001"}</definedName>
    <definedName name="CER" localSheetId="1" hidden="1">{#N/A,#N/A,FALSE,"PROPON.2001"}</definedName>
    <definedName name="CER" localSheetId="0" hidden="1">{#N/A,#N/A,FALSE,"PROPON.2001"}</definedName>
    <definedName name="CER" hidden="1">{#N/A,#N/A,FALSE,"PROPON.2001"}</definedName>
    <definedName name="CESAR" localSheetId="10" hidden="1">{#N/A,#N/A,FALSE,"Costos Productos 6A";#N/A,#N/A,FALSE,"Costo Unitario Total H-94-12"}</definedName>
    <definedName name="CESAR" localSheetId="1" hidden="1">{#N/A,#N/A,FALSE,"Costos Productos 6A";#N/A,#N/A,FALSE,"Costo Unitario Total H-94-12"}</definedName>
    <definedName name="CESAR" localSheetId="0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HACA" localSheetId="10" hidden="1">#REF!</definedName>
    <definedName name="CHACA" hidden="1">#REF!</definedName>
    <definedName name="Change_in_Cash" localSheetId="10" hidden="1">#REF!</definedName>
    <definedName name="Change_in_Cash" hidden="1">#REF!</definedName>
    <definedName name="Check_to_Cash" localSheetId="10" hidden="1">#REF!</definedName>
    <definedName name="Check_to_Cash" hidden="1">#REF!</definedName>
    <definedName name="chiho" localSheetId="1" hidden="1">{"'下期集計（10.27迄・速報値）'!$Q$16"}</definedName>
    <definedName name="chiho" localSheetId="0" hidden="1">{"'下期集計（10.27迄・速報値）'!$Q$16"}</definedName>
    <definedName name="chiho" hidden="1">{"'下期集計（10.27迄・速報値）'!$Q$16"}</definedName>
    <definedName name="civ" localSheetId="10" hidden="1">{#N/A,#N/A,TRUE,"1842CWN0"}</definedName>
    <definedName name="civ" localSheetId="1" hidden="1">{#N/A,#N/A,TRUE,"1842CWN0"}</definedName>
    <definedName name="civ" localSheetId="0" hidden="1">{#N/A,#N/A,TRUE,"1842CWN0"}</definedName>
    <definedName name="civ" hidden="1">{#N/A,#N/A,TRUE,"1842CWN0"}</definedName>
    <definedName name="cjsa" localSheetId="10" hidden="1">#REF!</definedName>
    <definedName name="cjsa" hidden="1">#REF!</definedName>
    <definedName name="clientes" localSheetId="10" hidden="1">#REF!</definedName>
    <definedName name="clientes" hidden="1">#REF!</definedName>
    <definedName name="CONTABLE" localSheetId="10" hidden="1">{#N/A,#N/A,FALSE,"CIBHA05A";#N/A,#N/A,FALSE,"CIBHA05B"}</definedName>
    <definedName name="CONTABLE" localSheetId="1" hidden="1">{#N/A,#N/A,FALSE,"CIBHA05A";#N/A,#N/A,FALSE,"CIBHA05B"}</definedName>
    <definedName name="CONTABLE" localSheetId="0" hidden="1">{#N/A,#N/A,FALSE,"CIBHA05A";#N/A,#N/A,FALSE,"CIBHA05B"}</definedName>
    <definedName name="CONTABLE" hidden="1">{#N/A,#N/A,FALSE,"CIBHA05A";#N/A,#N/A,FALSE,"CIBHA05B"}</definedName>
    <definedName name="CONTABLES" localSheetId="10" hidden="1">{#N/A,#N/A,FALSE,"Costos Productos 6A";#N/A,#N/A,FALSE,"Costo Unitario Total H-94-12"}</definedName>
    <definedName name="CONTABLES" localSheetId="1" hidden="1">{#N/A,#N/A,FALSE,"Costos Productos 6A";#N/A,#N/A,FALSE,"Costo Unitario Total H-94-12"}</definedName>
    <definedName name="CONTABLES" localSheetId="0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ntador" hidden="1">1</definedName>
    <definedName name="Control" localSheetId="10" hidden="1">#REF!</definedName>
    <definedName name="Control" hidden="1">#REF!</definedName>
    <definedName name="cost04" localSheetId="10" hidden="1">{#N/A,#N/A,FALSE,"Costos Productos 6A";#N/A,#N/A,FALSE,"Costo Unitario Total H-94-12"}</definedName>
    <definedName name="cost04" localSheetId="1" hidden="1">{#N/A,#N/A,FALSE,"Costos Productos 6A";#N/A,#N/A,FALSE,"Costo Unitario Total H-94-12"}</definedName>
    <definedName name="cost04" localSheetId="0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10" hidden="1">{#N/A,#N/A,FALSE,"Costos Productos 6A";#N/A,#N/A,FALSE,"Costo Unitario Total H-94-12"}</definedName>
    <definedName name="COSTCONTAB" localSheetId="1" hidden="1">{#N/A,#N/A,FALSE,"Costos Productos 6A";#N/A,#N/A,FALSE,"Costo Unitario Total H-94-12"}</definedName>
    <definedName name="COSTCONTAB" localSheetId="0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localSheetId="10" hidden="1">{#N/A,#N/A,FALSE,"Costos Productos 6A";#N/A,#N/A,FALSE,"Costo Unitario Total H-94-12"}</definedName>
    <definedName name="costivos" localSheetId="1" hidden="1">{#N/A,#N/A,FALSE,"Costos Productos 6A";#N/A,#N/A,FALSE,"Costo Unitario Total H-94-12"}</definedName>
    <definedName name="costivos" localSheetId="0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2" localSheetId="10" hidden="1">#REF!</definedName>
    <definedName name="costo2" hidden="1">#REF!</definedName>
    <definedName name="costoperativos" localSheetId="10" hidden="1">{#N/A,#N/A,FALSE,"Costos Productos 6A";#N/A,#N/A,FALSE,"Costo Unitario Total H-94-12"}</definedName>
    <definedName name="costoperativos" localSheetId="1" hidden="1">{#N/A,#N/A,FALSE,"Costos Productos 6A";#N/A,#N/A,FALSE,"Costo Unitario Total H-94-12"}</definedName>
    <definedName name="costoperativos" localSheetId="0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10" hidden="1">{#N/A,#N/A,FALSE,"Costos Productos 6A";#N/A,#N/A,FALSE,"Costo Unitario Total H-94-12"}</definedName>
    <definedName name="costos04" localSheetId="1" hidden="1">{#N/A,#N/A,FALSE,"Costos Productos 6A";#N/A,#N/A,FALSE,"Costo Unitario Total H-94-12"}</definedName>
    <definedName name="costos04" localSheetId="0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1" localSheetId="1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1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1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TIZACIONES" localSheetId="10" hidden="1">{"'dir.g'!$A$1","'Horarios'!$A$4:$D$5"}</definedName>
    <definedName name="COTIZACIONES" localSheetId="1" hidden="1">{"'dir.g'!$A$1","'Horarios'!$A$4:$D$5"}</definedName>
    <definedName name="COTIZACIONES" localSheetId="0" hidden="1">{"'dir.g'!$A$1","'Horarios'!$A$4:$D$5"}</definedName>
    <definedName name="COTIZACIONES" hidden="1">{"'dir.g'!$A$1","'Horarios'!$A$4:$D$5"}</definedName>
    <definedName name="cover" hidden="1">#REF!</definedName>
    <definedName name="CPoblado" hidden="1">""</definedName>
    <definedName name="CRUDOS" localSheetId="10" hidden="1">{#N/A,#N/A,FALSE,"CIBHA05A";#N/A,#N/A,FALSE,"CIBHA05B"}</definedName>
    <definedName name="CRUDOS" localSheetId="1" hidden="1">{#N/A,#N/A,FALSE,"CIBHA05A";#N/A,#N/A,FALSE,"CIBHA05B"}</definedName>
    <definedName name="CRUDOS" localSheetId="0" hidden="1">{#N/A,#N/A,FALSE,"CIBHA05A";#N/A,#N/A,FALSE,"CIBHA05B"}</definedName>
    <definedName name="CRUDOS" hidden="1">{#N/A,#N/A,FALSE,"CIBHA05A";#N/A,#N/A,FALSE,"CIBHA05B"}</definedName>
    <definedName name="CUAL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CUAL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CUAL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CUNET" localSheetId="1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um1" localSheetId="10" hidden="1">{"'Sheet2'!$A$3:$B$17"}</definedName>
    <definedName name="cusum1" localSheetId="1" hidden="1">{"'Sheet2'!$A$3:$B$17"}</definedName>
    <definedName name="cusum1" localSheetId="0" hidden="1">{"'Sheet2'!$A$3:$B$17"}</definedName>
    <definedName name="cusum1" hidden="1">{"'Sheet2'!$A$3:$B$17"}</definedName>
    <definedName name="cvbcvbf" localSheetId="1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vu.GREY_ALL." hidden="1">#REF!</definedName>
    <definedName name="Cwvu.oil." localSheetId="10" hidden="1">#REF!,#REF!,#REF!,#REF!,#REF!,#REF!,#REF!,#REF!,#REF!,#REF!,#REF!,#REF!,#REF!,#REF!,#REF!</definedName>
    <definedName name="Cwvu.oil." hidden="1">#REF!,#REF!,#REF!,#REF!,#REF!,#REF!,#REF!,#REF!,#REF!,#REF!,#REF!,#REF!,#REF!,#REF!,#REF!</definedName>
    <definedName name="Cwvu.oilgasagua." localSheetId="10" hidden="1">#REF!,#REF!,#REF!,#REF!,#REF!,#REF!,#REF!,#REF!,#REF!,#REF!,#REF!,#REF!,#REF!,#REF!,#REF!,#REF!,#REF!,#REF!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localSheetId="10" hidden="1">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zz" hidden="1">#REF!</definedName>
    <definedName name="DADADAD" localSheetId="10" hidden="1">{#N/A,#N/A,TRUE,"CODIGO DEPENDENCIA"}</definedName>
    <definedName name="DADADAD" localSheetId="1" hidden="1">{#N/A,#N/A,TRUE,"CODIGO DEPENDENCIA"}</definedName>
    <definedName name="DADADAD" localSheetId="0" hidden="1">{#N/A,#N/A,TRUE,"CODIGO DEPENDENCIA"}</definedName>
    <definedName name="DADADAD" hidden="1">{#N/A,#N/A,TRUE,"CODIGO DEPENDENCIA"}</definedName>
    <definedName name="DASD" localSheetId="1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AD" hidden="1">#REF!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1" hidden="1">{#N/A,#N/A,FALSE,"PERSONAL"}</definedName>
    <definedName name="ddddddd" localSheetId="0" hidden="1">{#N/A,#N/A,FALSE,"PERSONAL"}</definedName>
    <definedName name="ddddddd" hidden="1">{#N/A,#N/A,FALSE,"PERSONAL"}</definedName>
    <definedName name="ddddt" localSheetId="1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localSheetId="10" hidden="1">#REF!</definedName>
    <definedName name="Dealpb" hidden="1">#REF!</definedName>
    <definedName name="deded" localSheetId="1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preciationPB" localSheetId="10" hidden="1">#REF!</definedName>
    <definedName name="DepreciationPB" hidden="1">#REF!</definedName>
    <definedName name="dfa" localSheetId="1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FD" localSheetId="10" hidden="1">{#N/A,#N/A,FALSE,"PERSONAL"}</definedName>
    <definedName name="DFDFD" localSheetId="1" hidden="1">{#N/A,#N/A,FALSE,"PERSONAL"}</definedName>
    <definedName name="DFDFD" localSheetId="0" hidden="1">{#N/A,#N/A,FALSE,"PERSONAL"}</definedName>
    <definedName name="DFDFD" hidden="1">{#N/A,#N/A,FALSE,"PERSONAL"}</definedName>
    <definedName name="DFDFDFDFD" localSheetId="10" hidden="1">{#N/A,#N/A,FALSE,"PERSONAL"}</definedName>
    <definedName name="DFDFDFDFD" localSheetId="1" hidden="1">{#N/A,#N/A,FALSE,"PERSONAL"}</definedName>
    <definedName name="DFDFDFDFD" localSheetId="0" hidden="1">{#N/A,#N/A,FALSE,"PERSONAL"}</definedName>
    <definedName name="DFDFDFDFD" hidden="1">{#N/A,#N/A,FALSE,"PERSONAL"}</definedName>
    <definedName name="dfds" localSheetId="1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DF" localSheetId="10" hidden="1">{#N/A,#N/A,FALSE,"SOACHA"}</definedName>
    <definedName name="DFFDF" localSheetId="1" hidden="1">{#N/A,#N/A,FALSE,"SOACHA"}</definedName>
    <definedName name="DFFDF" localSheetId="0" hidden="1">{#N/A,#N/A,FALSE,"SOACHA"}</definedName>
    <definedName name="DFFDF" hidden="1">{#N/A,#N/A,FALSE,"SOACHA"}</definedName>
    <definedName name="dffffe" localSheetId="1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" localSheetId="10" hidden="1">{#N/A,#N/A,FALSE,"PERSONAL"}</definedName>
    <definedName name="dfr" localSheetId="1" hidden="1">{#N/A,#N/A,FALSE,"PERSONAL"}</definedName>
    <definedName name="dfr" localSheetId="0" hidden="1">{#N/A,#N/A,FALSE,"PERSONAL"}</definedName>
    <definedName name="dfr" hidden="1">{#N/A,#N/A,FALSE,"PERSONAL"}</definedName>
    <definedName name="DFRFRF" localSheetId="1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ds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 localSheetId="1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dhdh" localSheetId="10" hidden="1">#REF!</definedName>
    <definedName name="dgdgdhdh" hidden="1">#REF!</definedName>
    <definedName name="dgdgr" localSheetId="1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MANTE" localSheetId="10" hidden="1">{#N/A,#N/A,TRUE,"Unifilar"}</definedName>
    <definedName name="DIAMANTE" localSheetId="1" hidden="1">{#N/A,#N/A,TRUE,"Unifilar"}</definedName>
    <definedName name="DIAMANTE" localSheetId="0" hidden="1">{#N/A,#N/A,TRUE,"Unifilar"}</definedName>
    <definedName name="DIAMANTE" hidden="1">{#N/A,#N/A,TRUE,"Unifilar"}</definedName>
    <definedName name="direccion" localSheetId="10" hidden="1">{#N/A,#N/A,FALSE,"SOACHA"}</definedName>
    <definedName name="direccion" localSheetId="1" hidden="1">{#N/A,#N/A,FALSE,"SOACHA"}</definedName>
    <definedName name="direccion" localSheetId="0" hidden="1">{#N/A,#N/A,FALSE,"SOACHA"}</definedName>
    <definedName name="direccion" hidden="1">{#N/A,#N/A,FALSE,"SOACHA"}</definedName>
    <definedName name="djdytj" localSheetId="1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JEFIPJKLÑGJOÑ" hidden="1">#REF!</definedName>
    <definedName name="drg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y" localSheetId="1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" localSheetId="10" hidden="1">{#N/A,#N/A,FALSE,"PERSONAL"}</definedName>
    <definedName name="DSDS" localSheetId="1" hidden="1">{#N/A,#N/A,FALSE,"PERSONAL"}</definedName>
    <definedName name="DSDS" localSheetId="0" hidden="1">{#N/A,#N/A,FALSE,"PERSONAL"}</definedName>
    <definedName name="DSDS" hidden="1">{#N/A,#N/A,FALSE,"PERSONAL"}</definedName>
    <definedName name="DSDSD" localSheetId="1" hidden="1">{#N/A,#N/A,FALSE,"PERSONAL"}</definedName>
    <definedName name="DSDSD" localSheetId="0" hidden="1">{#N/A,#N/A,FALSE,"PERSONAL"}</definedName>
    <definedName name="DSDSD" hidden="1">{#N/A,#N/A,FALSE,"PERSONAL"}</definedName>
    <definedName name="DSDSDS" localSheetId="10" hidden="1">{#N/A,#N/A,FALSE,"PERSONAL"}</definedName>
    <definedName name="DSDSDS" localSheetId="1" hidden="1">{#N/A,#N/A,FALSE,"PERSONAL"}</definedName>
    <definedName name="DSDSDS" localSheetId="0" hidden="1">{#N/A,#N/A,FALSE,"PERSONAL"}</definedName>
    <definedName name="DSDSDS" hidden="1">{#N/A,#N/A,FALSE,"PERSONAL"}</definedName>
    <definedName name="DSDSDSD" localSheetId="10" hidden="1">{#N/A,#N/A,FALSE,"PERSONAL"}</definedName>
    <definedName name="DSDSDSD" localSheetId="1" hidden="1">{#N/A,#N/A,FALSE,"PERSONAL"}</definedName>
    <definedName name="DSDSDSD" localSheetId="0" hidden="1">{#N/A,#N/A,FALSE,"PERSONAL"}</definedName>
    <definedName name="DSDSDSD" hidden="1">{#N/A,#N/A,FALSE,"PERSONAL"}</definedName>
    <definedName name="DSF" localSheetId="1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A" localSheetId="10" hidden="1">{#N/A,#N/A,FALSE,"PERSONAL"}</definedName>
    <definedName name="DSFA" localSheetId="1" hidden="1">{#N/A,#N/A,FALSE,"PERSONAL"}</definedName>
    <definedName name="DSFA" localSheetId="0" hidden="1">{#N/A,#N/A,FALSE,"PERSONAL"}</definedName>
    <definedName name="DSFA" hidden="1">{#N/A,#N/A,FALSE,"PERSONAL"}</definedName>
    <definedName name="DSFCVTY" localSheetId="1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yu5yrt" localSheetId="10" hidden="1">#REF!</definedName>
    <definedName name="dyu5yrt" hidden="1">#REF!</definedName>
    <definedName name="DZ.Main" localSheetId="10" hidden="1">#REF!</definedName>
    <definedName name="DZ.Main" hidden="1">#REF!</definedName>
    <definedName name="dzfc" localSheetId="1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3e33" localSheetId="1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E" localSheetId="10" hidden="1">#REF!</definedName>
    <definedName name="EEE" hidden="1">#REF!</definedName>
    <definedName name="eeedfr" localSheetId="1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efaseIINCDIES" localSheetId="1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ef" localSheetId="1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FASEI_INC_DIESEL2" localSheetId="1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g" localSheetId="1" hidden="1">{#N/A,#N/A,TRUE,"A"}</definedName>
    <definedName name="efg" localSheetId="0" hidden="1">{#N/A,#N/A,TRUE,"A"}</definedName>
    <definedName name="efg" hidden="1">{#N/A,#N/A,TRUE,"A"}</definedName>
    <definedName name="egeg" localSheetId="1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ctrico2" hidden="1">#REF!</definedName>
    <definedName name="elias" hidden="1">#REF!</definedName>
    <definedName name="Ensayo" localSheetId="1" hidden="1">{"AURES1",#N/A,TRUE,"GENERAL";"AURES2",#N/A,TRUE,"GENERAL";"AURES3",#N/A,TRUE,"GENERAL";"AURES4",#N/A,TRUE,"GENERAL";"AURES5",#N/A,TRUE,"GENERAL";"AURES6",#N/A,TRUE,"GENERAL";"AURES7",#N/A,TRUE,"GENERAL"}</definedName>
    <definedName name="Ensayo" localSheetId="0" hidden="1">{"AURES1",#N/A,TRUE,"GENERAL";"AURES2",#N/A,TRUE,"GENERAL";"AURES3",#N/A,TRUE,"GENERAL";"AURES4",#N/A,TRUE,"GENERAL";"AURES5",#N/A,TRUE,"GENERAL";"AURES6",#N/A,TRUE,"GENERAL";"AURES7",#N/A,TRUE,"GENERAL"}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qw" localSheetId="1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" localSheetId="1" hidden="1">{#N/A,#N/A,FALSE,"PERSONAL"}</definedName>
    <definedName name="ERE" localSheetId="0" hidden="1">{#N/A,#N/A,FALSE,"PERSONAL"}</definedName>
    <definedName name="ERE" hidden="1">{#N/A,#N/A,FALSE,"PERSONAL"}</definedName>
    <definedName name="ererrreer" localSheetId="10" hidden="1">{#N/A,#N/A,FALSE,"PERSONAL"}</definedName>
    <definedName name="ererrreer" localSheetId="1" hidden="1">{#N/A,#N/A,FALSE,"PERSONAL"}</definedName>
    <definedName name="ererrreer" localSheetId="0" hidden="1">{#N/A,#N/A,FALSE,"PERSONAL"}</definedName>
    <definedName name="ererrreer" hidden="1">{#N/A,#N/A,FALSE,"PERSONAL"}</definedName>
    <definedName name="erfg" localSheetId="10" hidden="1">{#N/A,#N/A,FALSE,"Hoja1";#N/A,#N/A,FALSE,"Hoja2"}</definedName>
    <definedName name="erfg" localSheetId="1" hidden="1">{#N/A,#N/A,FALSE,"Hoja1";#N/A,#N/A,FALSE,"Hoja2"}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1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1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CUELABARZALOZA" localSheetId="10" hidden="1">{#N/A,#N/A,TRUE,"Unifilar"}</definedName>
    <definedName name="ESCUELABARZALOZA" localSheetId="1" hidden="1">{#N/A,#N/A,TRUE,"Unifilar"}</definedName>
    <definedName name="ESCUELABARZALOZA" localSheetId="0" hidden="1">{#N/A,#N/A,TRUE,"Unifilar"}</definedName>
    <definedName name="ESCUELABARZALOZA" hidden="1">{#N/A,#N/A,TRUE,"Unifilar"}</definedName>
    <definedName name="Especialista" localSheetId="10" hidden="1">{#N/A,#N/A,FALSE,"Costos Productos 6A";#N/A,#N/A,FALSE,"Costo Unitario Total H-94-12"}</definedName>
    <definedName name="Especialista" localSheetId="1" hidden="1">{#N/A,#N/A,FALSE,"Costos Productos 6A";#N/A,#N/A,FALSE,"Costo Unitario Total H-94-12"}</definedName>
    <definedName name="Especialista" localSheetId="0" hidden="1">{#N/A,#N/A,FALSE,"Costos Productos 6A";#N/A,#N/A,FALSE,"Costo Unitario Total H-94-12"}</definedName>
    <definedName name="Especialista" hidden="1">{#N/A,#N/A,FALSE,"Costos Productos 6A";#N/A,#N/A,FALSE,"Costo Unitario Total H-94-12"}</definedName>
    <definedName name="ESTRUCTURA" localSheetId="1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UDIOS" hidden="1">#REF!</definedName>
    <definedName name="etertgg" localSheetId="1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0" hidden="1">{#N/A,#N/A,TRUE,"1842CWN0"}</definedName>
    <definedName name="etertt" localSheetId="1" hidden="1">{#N/A,#N/A,TRUE,"1842CWN0"}</definedName>
    <definedName name="etertt" localSheetId="0" hidden="1">{#N/A,#N/A,TRUE,"1842CWN0"}</definedName>
    <definedName name="etertt" hidden="1">{#N/A,#N/A,TRUE,"1842CWN0"}</definedName>
    <definedName name="etewt" localSheetId="1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" localSheetId="10" hidden="1">{#N/A,#N/A,FALSE,"PERSONAL"}</definedName>
    <definedName name="EWE" localSheetId="1" hidden="1">{#N/A,#N/A,FALSE,"PERSONAL"}</definedName>
    <definedName name="EWE" localSheetId="0" hidden="1">{#N/A,#N/A,FALSE,"PERSONAL"}</definedName>
    <definedName name="EWE" hidden="1">{#N/A,#N/A,FALSE,"PERSONAL"}</definedName>
    <definedName name="ewegt" localSheetId="1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ERE" localSheetId="10" hidden="1">{#N/A,#N/A,FALSE,"PERSONAL"}</definedName>
    <definedName name="EWERE" localSheetId="1" hidden="1">{#N/A,#N/A,FALSE,"PERSONAL"}</definedName>
    <definedName name="EWERE" localSheetId="0" hidden="1">{#N/A,#N/A,FALSE,"PERSONAL"}</definedName>
    <definedName name="EWERE" hidden="1">{#N/A,#N/A,FALSE,"PERSONAL"}</definedName>
    <definedName name="EWEWE" localSheetId="10" hidden="1">{#N/A,#N/A,FALSE,"PERSONAL"}</definedName>
    <definedName name="EWEWE" localSheetId="1" hidden="1">{#N/A,#N/A,FALSE,"PERSONAL"}</definedName>
    <definedName name="EWEWE" localSheetId="0" hidden="1">{#N/A,#N/A,FALSE,"PERSONAL"}</definedName>
    <definedName name="EWEWE" hidden="1">{#N/A,#N/A,FALSE,"PERSONAL"}</definedName>
    <definedName name="EWEWEWE" localSheetId="10" hidden="1">{#N/A,#N/A,FALSE,"PERSONAL"}</definedName>
    <definedName name="EWEWEWE" localSheetId="1" hidden="1">{#N/A,#N/A,FALSE,"PERSONAL"}</definedName>
    <definedName name="EWEWEWE" localSheetId="0" hidden="1">{#N/A,#N/A,FALSE,"PERSONAL"}</definedName>
    <definedName name="EWEWEWE" hidden="1">{#N/A,#N/A,FALSE,"PERSONAL"}</definedName>
    <definedName name="ewfewfg" localSheetId="1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0" hidden="1">#REF!</definedName>
    <definedName name="EX_1" localSheetId="10" hidden="1">#REF!</definedName>
    <definedName name="EX_1" hidden="1">#REF!</definedName>
    <definedName name="excavaciones" localSheetId="10" hidden="1">{#N/A,#N/A,FALSE,"Hoja1";#N/A,#N/A,FALSE,"Hoja2"}</definedName>
    <definedName name="excavaciones" localSheetId="1" hidden="1">{#N/A,#N/A,FALSE,"Hoja1";#N/A,#N/A,FALSE,"Hoja2"}</definedName>
    <definedName name="excavaciones" localSheetId="0" hidden="1">{#N/A,#N/A,FALSE,"Hoja1";#N/A,#N/A,FALSE,"Hoja2"}</definedName>
    <definedName name="excavaciones" hidden="1">{#N/A,#N/A,FALSE,"Hoja1";#N/A,#N/A,FALSE,"Hoja2"}</definedName>
    <definedName name="Executivepb" localSheetId="10" hidden="1">#REF!</definedName>
    <definedName name="Executivepb" hidden="1">#REF!</definedName>
    <definedName name="eyeyey" localSheetId="10" hidden="1">#REF!</definedName>
    <definedName name="eyeyey" hidden="1">#REF!</definedName>
    <definedName name="FAC" localSheetId="10" hidden="1">#REF!</definedName>
    <definedName name="FAC" hidden="1">#REF!</definedName>
    <definedName name="Factpb" localSheetId="10" hidden="1">#REF!</definedName>
    <definedName name="Factpb" hidden="1">#REF!</definedName>
    <definedName name="Factpb2" localSheetId="10" hidden="1">#REF!</definedName>
    <definedName name="Factpb2" hidden="1">#REF!</definedName>
    <definedName name="FAL" localSheetId="10" hidden="1">{#N/A,#N/A,FALSE,"Hoja1";#N/A,#N/A,FALSE,"Hoja2"}</definedName>
    <definedName name="FAL" localSheetId="1" hidden="1">{#N/A,#N/A,FALSE,"Hoja1";#N/A,#N/A,FALSE,"Hoja2"}</definedName>
    <definedName name="FAL" localSheetId="0" hidden="1">{#N/A,#N/A,FALSE,"Hoja1";#N/A,#N/A,FALSE,"Hoja2"}</definedName>
    <definedName name="FAL" hidden="1">{#N/A,#N/A,FALSE,"Hoja1";#N/A,#N/A,FALSE,"Hoja2"}</definedName>
    <definedName name="fda" localSheetId="10" hidden="1">{"TAB1",#N/A,TRUE,"GENERAL";"TAB2",#N/A,TRUE,"GENERAL";"TAB3",#N/A,TRUE,"GENERAL";"TAB4",#N/A,TRUE,"GENERAL";"TAB5",#N/A,TRUE,"GENERAL"}</definedName>
    <definedName name="fdadsfa" localSheetId="10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D" localSheetId="10" hidden="1">{#N/A,#N/A,FALSE,"PERSONAL"}</definedName>
    <definedName name="FDFD" localSheetId="1" hidden="1">{#N/A,#N/A,FALSE,"PERSONAL"}</definedName>
    <definedName name="FDFD" localSheetId="0" hidden="1">{#N/A,#N/A,FALSE,"PERSONAL"}</definedName>
    <definedName name="FDFD" hidden="1">{#N/A,#N/A,FALSE,"PERSONAL"}</definedName>
    <definedName name="fdfdf" localSheetId="10" hidden="1">{#N/A,#N/A,FALSE,"PERSONAL"}</definedName>
    <definedName name="fdfdf" localSheetId="1" hidden="1">{#N/A,#N/A,FALSE,"PERSONAL"}</definedName>
    <definedName name="fdfdf" localSheetId="0" hidden="1">{#N/A,#N/A,FALSE,"PERSONAL"}</definedName>
    <definedName name="fdfdf" hidden="1">{#N/A,#N/A,FALSE,"PERSONAL"}</definedName>
    <definedName name="FDFDFD" localSheetId="10" hidden="1">{#N/A,#N/A,FALSE,"PERSONAL"}</definedName>
    <definedName name="FDFDFD" localSheetId="1" hidden="1">{#N/A,#N/A,FALSE,"PERSONAL"}</definedName>
    <definedName name="FDFDFD" localSheetId="0" hidden="1">{#N/A,#N/A,FALSE,"PERSONAL"}</definedName>
    <definedName name="FDFDFD" hidden="1">{#N/A,#N/A,FALSE,"PERSONAL"}</definedName>
    <definedName name="FDFDFDFD" localSheetId="10" hidden="1">{#N/A,#N/A,FALSE,"PERSONAL"}</definedName>
    <definedName name="FDFDFDFD" localSheetId="1" hidden="1">{#N/A,#N/A,FALSE,"PERSONAL"}</definedName>
    <definedName name="FDFDFDFD" localSheetId="0" hidden="1">{#N/A,#N/A,FALSE,"PERSONAL"}</definedName>
    <definedName name="FDFDFDFD" hidden="1">{#N/A,#N/A,FALSE,"PERSONAL"}</definedName>
    <definedName name="FDFDFDFDFDFDFDFDFDFDF" localSheetId="10" hidden="1">{#N/A,#N/A,FALSE,"PERSONAL"}</definedName>
    <definedName name="FDFDFDFDFDFDFDFDFDFDF" localSheetId="1" hidden="1">{#N/A,#N/A,FALSE,"PERSONAL"}</definedName>
    <definedName name="FDFDFDFDFDFDFDFDFDFDF" localSheetId="0" hidden="1">{#N/A,#N/A,FALSE,"PERSONAL"}</definedName>
    <definedName name="FDFDFDFDFDFDFDFDFDFDF" hidden="1">{#N/A,#N/A,FALSE,"PERSONAL"}</definedName>
    <definedName name="fdg" localSheetId="1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 localSheetId="1" hidden="1">{"'下期集計（10.27迄・速報値）'!$Q$16"}</definedName>
    <definedName name="fds" localSheetId="0" hidden="1">{"'下期集計（10.27迄・速報値）'!$Q$16"}</definedName>
    <definedName name="fds" hidden="1">{"'下期集計（10.27迄・速報値）'!$Q$16"}</definedName>
    <definedName name="fdsf" localSheetId="1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FSDS" localSheetId="10" hidden="1">{#N/A,#N/A,FALSE,"PERSONAL"}</definedName>
    <definedName name="FDSFSDS" localSheetId="1" hidden="1">{#N/A,#N/A,FALSE,"PERSONAL"}</definedName>
    <definedName name="FDSFSDS" localSheetId="0" hidden="1">{#N/A,#N/A,FALSE,"PERSONAL"}</definedName>
    <definedName name="FDSFSDS" hidden="1">{#N/A,#N/A,FALSE,"PERSONAL"}</definedName>
    <definedName name="fdsgfds" localSheetId="1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EE" localSheetId="10" hidden="1">{#N/A,#N/A,FALSE,"PERSONAL"}</definedName>
    <definedName name="FEEE" localSheetId="1" hidden="1">{#N/A,#N/A,FALSE,"PERSONAL"}</definedName>
    <definedName name="FEEE" localSheetId="0" hidden="1">{#N/A,#N/A,FALSE,"PERSONAL"}</definedName>
    <definedName name="FEEE" hidden="1">{#N/A,#N/A,FALSE,"PERSONAL"}</definedName>
    <definedName name="FEL" localSheetId="10" hidden="1">{#N/A,#N/A,FALSE,"Hoja1";#N/A,#N/A,FALSE,"Hoja2"}</definedName>
    <definedName name="FEL" localSheetId="1" hidden="1">{#N/A,#N/A,FALSE,"Hoja1";#N/A,#N/A,FALSE,"Hoja2"}</definedName>
    <definedName name="FEL" localSheetId="0" hidden="1">{#N/A,#N/A,FALSE,"Hoja1";#N/A,#N/A,FALSE,"Hoja2"}</definedName>
    <definedName name="FEL" hidden="1">{#N/A,#N/A,FALSE,"Hoja1";#N/A,#N/A,FALSE,"Hoja2"}</definedName>
    <definedName name="ferfer" localSheetId="1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10" hidden="1">#REF!</definedName>
    <definedName name="FFFF" hidden="1">#REF!</definedName>
    <definedName name="ffffd" localSheetId="1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f" localSheetId="10" hidden="1">{#N/A,#N/A,FALSE,"PERSONAL"}</definedName>
    <definedName name="fffffff" localSheetId="1" hidden="1">{#N/A,#N/A,FALSE,"PERSONAL"}</definedName>
    <definedName name="fffffff" localSheetId="0" hidden="1">{#N/A,#N/A,FALSE,"PERSONAL"}</definedName>
    <definedName name="fffffff" hidden="1">{#N/A,#N/A,FALSE,"PERSONAL"}</definedName>
    <definedName name="fffffft" localSheetId="1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ggg" localSheetId="10" hidden="1">{#N/A,#N/A,FALSE,"PERSONAL"}</definedName>
    <definedName name="fffggg" localSheetId="1" hidden="1">{#N/A,#N/A,FALSE,"PERSONAL"}</definedName>
    <definedName name="fffggg" localSheetId="0" hidden="1">{#N/A,#N/A,FALSE,"PERSONAL"}</definedName>
    <definedName name="fffggg" hidden="1">{#N/A,#N/A,FALSE,"PERSONAL"}</definedName>
    <definedName name="fffrfr" localSheetId="1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" localSheetId="10" hidden="1">{#N/A,#N/A,FALSE,"PERSONAL"}</definedName>
    <definedName name="fghj" localSheetId="1" hidden="1">{#N/A,#N/A,FALSE,"PERSONAL"}</definedName>
    <definedName name="fghj" localSheetId="0" hidden="1">{#N/A,#N/A,FALSE,"PERSONAL"}</definedName>
    <definedName name="fghj" hidden="1">{#N/A,#N/A,FALSE,"PERSONAL"}</definedName>
    <definedName name="fghsfgh" localSheetId="1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0" hidden="1">{#N/A,#N/A,TRUE,"1842CWN0"}</definedName>
    <definedName name="fhg" localSheetId="1" hidden="1">{#N/A,#N/A,TRUE,"1842CWN0"}</definedName>
    <definedName name="fhg" localSheetId="0" hidden="1">{#N/A,#N/A,TRUE,"1842CWN0"}</definedName>
    <definedName name="fhg" hidden="1">{#N/A,#N/A,TRUE,"1842CWN0"}</definedName>
    <definedName name="fhgh" localSheetId="1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ll" hidden="1">#REF!</definedName>
    <definedName name="fill1" localSheetId="10" hidden="1">#REF!</definedName>
    <definedName name="fill1" hidden="1">#REF!</definedName>
    <definedName name="filtrarbasedatos" hidden="1">#REF!</definedName>
    <definedName name="Financialpb" localSheetId="10" hidden="1">#REF!</definedName>
    <definedName name="Financialpb" hidden="1">#REF!</definedName>
    <definedName name="Financialpb2" localSheetId="10" hidden="1">#REF!</definedName>
    <definedName name="Financialpb2" hidden="1">#REF!</definedName>
    <definedName name="fORMA9698" localSheetId="10" hidden="1">{#N/A,#N/A,FALSE,"CIBHA05A";#N/A,#N/A,FALSE,"CIBHA05B"}</definedName>
    <definedName name="fORMA9698" localSheetId="1" hidden="1">{#N/A,#N/A,FALSE,"CIBHA05A";#N/A,#N/A,FALSE,"CIBHA05B"}</definedName>
    <definedName name="fORMA9698" localSheetId="0" hidden="1">{#N/A,#N/A,FALSE,"CIBHA05A";#N/A,#N/A,FALSE,"CIBHA05B"}</definedName>
    <definedName name="fORMA9698" hidden="1">{#N/A,#N/A,FALSE,"CIBHA05A";#N/A,#N/A,FALSE,"CIBHA05B"}</definedName>
    <definedName name="FORMAUNIT" localSheetId="10" hidden="1">{#N/A,#N/A,FALSE,"Costos Productos 6A";#N/A,#N/A,FALSE,"Costo Unitario Total H-94-12"}</definedName>
    <definedName name="FORMAUNIT" localSheetId="1" hidden="1">{#N/A,#N/A,FALSE,"Costos Productos 6A";#N/A,#N/A,FALSE,"Costo Unitario Total H-94-12"}</definedName>
    <definedName name="FORMAUNIT" localSheetId="0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otos" localSheetId="10" hidden="1">{#N/A,#N/A,FALSE,"Hoja1";#N/A,#N/A,FALSE,"Hoja2"}</definedName>
    <definedName name="frbgsd" localSheetId="1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dfdf" localSheetId="1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wff" localSheetId="1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0" hidden="1">#REF!</definedName>
    <definedName name="G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ｇ" localSheetId="1" hidden="1">{"'下期集計（10.27迄・速報値）'!$Q$16"}</definedName>
    <definedName name="ｇ" localSheetId="0" hidden="1">{"'下期集計（10.27迄・速報値）'!$Q$16"}</definedName>
    <definedName name="ｇ" hidden="1">{"'下期集計（10.27迄・速報値）'!$Q$16"}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a" localSheetId="1" hidden="1">{"'下期集計（10.27迄・速報値）'!$Q$16"}</definedName>
    <definedName name="gda" localSheetId="0" hidden="1">{"'下期集計（10.27迄・速報値）'!$Q$16"}</definedName>
    <definedName name="gda" hidden="1">{"'下期集計（10.27迄・速報値）'!$Q$16"}</definedName>
    <definedName name="gdsa" localSheetId="1" hidden="1">{"'下期集計（10.27迄・速報値）'!$Q$16"}</definedName>
    <definedName name="gdsa" localSheetId="0" hidden="1">{"'下期集計（10.27迄・速報値）'!$Q$16"}</definedName>
    <definedName name="gdsa" hidden="1">{"'下期集計（10.27迄・速報値）'!$Q$16"}</definedName>
    <definedName name="gdt" localSheetId="1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r" localSheetId="10" hidden="1">#REF!</definedName>
    <definedName name="gerger" hidden="1">#REF!</definedName>
    <definedName name="gergew" localSheetId="1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0" hidden="1">{"TAB1",#N/A,TRUE,"GENERAL";"TAB2",#N/A,TRUE,"GENERAL";"TAB3",#N/A,TRUE,"GENERAL";"TAB4",#N/A,TRUE,"GENERAL";"TAB5",#N/A,TRUE,"GENERAL"}</definedName>
    <definedName name="ggdr" localSheetId="1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ggggbbbbbbbbbbbbbb" hidden="1">#REF!</definedName>
    <definedName name="gggggt" localSheetId="1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0" hidden="1">{#N/A,#N/A,TRUE,"1842CWN0"}</definedName>
    <definedName name="ggjgjkg" localSheetId="1" hidden="1">{#N/A,#N/A,TRUE,"1842CWN0"}</definedName>
    <definedName name="ggjgjkg" localSheetId="0" hidden="1">{#N/A,#N/A,TRUE,"1842CWN0"}</definedName>
    <definedName name="ggjgjkg" hidden="1">{#N/A,#N/A,TRUE,"1842CWN0"}</definedName>
    <definedName name="ggtgt" localSheetId="1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0" hidden="1">{#N/A,#N/A,TRUE,"1842CWN0"}</definedName>
    <definedName name="ghnbbfr" localSheetId="1" hidden="1">{#N/A,#N/A,TRUE,"1842CWN0"}</definedName>
    <definedName name="ghnbbfr" localSheetId="0" hidden="1">{#N/A,#N/A,TRUE,"1842CWN0"}</definedName>
    <definedName name="ghnbbfr" hidden="1">{#N/A,#N/A,TRUE,"1842CWN0"}</definedName>
    <definedName name="GJHVCB" localSheetId="1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OTSX" localSheetId="10" hidden="1">{#N/A,#N/A,FALSE,"CIBHA05A";#N/A,#N/A,FALSE,"CIBHA05B"}</definedName>
    <definedName name="GOTSX" localSheetId="1" hidden="1">{#N/A,#N/A,FALSE,"CIBHA05A";#N/A,#N/A,FALSE,"CIBHA05B"}</definedName>
    <definedName name="GOTSX" localSheetId="0" hidden="1">{#N/A,#N/A,FALSE,"CIBHA05A";#N/A,#N/A,FALSE,"CIBHA05B"}</definedName>
    <definedName name="GOTSX" hidden="1">{#N/A,#N/A,FALSE,"CIBHA05A";#N/A,#N/A,FALSE,"CIBHA05B"}</definedName>
    <definedName name="GRAF" localSheetId="10" hidden="1">{#N/A,#N/A,FALSE,"SMT1";#N/A,#N/A,FALSE,"SMT2";#N/A,#N/A,FALSE,"Summary";#N/A,#N/A,FALSE,"Graphs";#N/A,#N/A,FALSE,"4 Panel"}</definedName>
    <definedName name="GRAF" localSheetId="1" hidden="1">{#N/A,#N/A,FALSE,"SMT1";#N/A,#N/A,FALSE,"SMT2";#N/A,#N/A,FALSE,"Summary";#N/A,#N/A,FALSE,"Graphs";#N/A,#N/A,FALSE,"4 Panel"}</definedName>
    <definedName name="GRAF" localSheetId="0" hidden="1">{#N/A,#N/A,FALSE,"SMT1";#N/A,#N/A,FALSE,"SMT2";#N/A,#N/A,FALSE,"Summary";#N/A,#N/A,FALSE,"Graphs";#N/A,#N/A,FALSE,"4 Panel"}</definedName>
    <definedName name="GRAF" hidden="1">{#N/A,#N/A,FALSE,"SMT1";#N/A,#N/A,FALSE,"SMT2";#N/A,#N/A,FALSE,"Summary";#N/A,#N/A,FALSE,"Graphs";#N/A,#N/A,FALSE,"4 Panel"}</definedName>
    <definedName name="GRAF1ANO" localSheetId="1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CHIS0599" localSheetId="10" hidden="1">{#N/A,#N/A,FALSE,"Costos Productos 6A";#N/A,#N/A,FALSE,"Costo Unitario Total H-94-12"}</definedName>
    <definedName name="GRCHIS0599" localSheetId="1" hidden="1">{#N/A,#N/A,FALSE,"Costos Productos 6A";#N/A,#N/A,FALSE,"Costo Unitario Total H-94-12"}</definedName>
    <definedName name="GRCHIS0599" localSheetId="0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localSheetId="1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S" localSheetId="1" hidden="1">{#N/A,#N/A,FALSE,"Costos Productos 6A";#N/A,#N/A,FALSE,"Costo Unitario Total H-94-12"}</definedName>
    <definedName name="GUS" localSheetId="0" hidden="1">{#N/A,#N/A,FALSE,"Costos Productos 6A";#N/A,#N/A,FALSE,"Costo Unitario Total H-94-12"}</definedName>
    <definedName name="GUS" hidden="1">{#N/A,#N/A,FALSE,"Costos Productos 6A";#N/A,#N/A,FALSE,"Costo Unitario Total H-94-12"}</definedName>
    <definedName name="GUSTAVO" localSheetId="1" hidden="1">{#N/A,#N/A,FALSE,"Costos Productos 6A";#N/A,#N/A,FALSE,"Costo Unitario Total H-94-12"}</definedName>
    <definedName name="GUSTAVO" localSheetId="0" hidden="1">{#N/A,#N/A,FALSE,"Costos Productos 6A";#N/A,#N/A,FALSE,"Costo Unitario Total H-94-12"}</definedName>
    <definedName name="GUSTAVO" hidden="1">{#N/A,#N/A,FALSE,"Costos Productos 6A";#N/A,#N/A,FALSE,"Costo Unitario Total H-94-12"}</definedName>
    <definedName name="ｈ" localSheetId="1" hidden="1">{"'下期集計（10.27迄・速報値）'!$Q$16"}</definedName>
    <definedName name="ｈ" localSheetId="0" hidden="1">{"'下期集計（10.27迄・速報値）'!$Q$16"}</definedName>
    <definedName name="ｈ" hidden="1">{"'下期集計（10.27迄・速報値）'!$Q$16"}</definedName>
    <definedName name="H16?1??" localSheetId="1" hidden="1">{"'????'!$A$1:$C$37"}</definedName>
    <definedName name="H16?1??" localSheetId="0" hidden="1">{"'????'!$A$1:$C$37"}</definedName>
    <definedName name="H16?1??" hidden="1">{"'????'!$A$1:$C$37"}</definedName>
    <definedName name="Ｈ16・１" localSheetId="1" hidden="1">{"'コメント'!$A$1:$C$37"}</definedName>
    <definedName name="Ｈ16・１" localSheetId="0" hidden="1">{"'コメント'!$A$1:$C$37"}</definedName>
    <definedName name="Ｈ16・１" hidden="1">{"'コメント'!$A$1:$C$37"}</definedName>
    <definedName name="H16･1速報" localSheetId="1" hidden="1">{"'コメント'!$A$1:$C$37"}</definedName>
    <definedName name="H16･1速報" localSheetId="0" hidden="1">{"'コメント'!$A$1:$C$37"}</definedName>
    <definedName name="H16･1速報" hidden="1">{"'コメント'!$A$1:$C$37"}</definedName>
    <definedName name="h56h" localSheetId="10" hidden="1">{0,0,0,0;0,0,0,0}</definedName>
    <definedName name="h56h" localSheetId="1" hidden="1">{0,0,0,0;0,0,0,0}</definedName>
    <definedName name="h56h" localSheetId="0" hidden="1">{0,0,0,0;0,0,0,0}</definedName>
    <definedName name="h56h" hidden="1">{0,0,0,0;0,0,0,0}</definedName>
    <definedName name="h9h" localSheetId="1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rramienta" localSheetId="10" hidden="1">{"'Sheet2'!$A$3:$B$17"}</definedName>
    <definedName name="Herramienta" localSheetId="1" hidden="1">{"'Sheet2'!$A$3:$B$17"}</definedName>
    <definedName name="Herramienta" localSheetId="0" hidden="1">{"'Sheet2'!$A$3:$B$17"}</definedName>
    <definedName name="Herramienta" hidden="1">{"'Sheet2'!$A$3:$B$17"}</definedName>
    <definedName name="hfgh" localSheetId="1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ghghghgh" localSheetId="10" hidden="1">{#N/A,#N/A,FALSE,"PERSONAL"}</definedName>
    <definedName name="hghghghghgh" localSheetId="1" hidden="1">{#N/A,#N/A,FALSE,"PERSONAL"}</definedName>
    <definedName name="hghghghghgh" localSheetId="0" hidden="1">{#N/A,#N/A,FALSE,"PERSONAL"}</definedName>
    <definedName name="hghghghghgh" hidden="1">{#N/A,#N/A,FALSE,"PERSONAL"}</definedName>
    <definedName name="hghhj" localSheetId="1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10" hidden="1">{#N/A,#N/A,TRUE,"1842CWN0"}</definedName>
    <definedName name="hhg" localSheetId="1" hidden="1">{#N/A,#N/A,TRUE,"1842CWN0"}</definedName>
    <definedName name="hhg" localSheetId="0" hidden="1">{#N/A,#N/A,TRUE,"1842CWN0"}</definedName>
    <definedName name="hhg" hidden="1">{#N/A,#N/A,TRUE,"1842CWN0"}</definedName>
    <definedName name="hhghhghghhgg" localSheetId="10" hidden="1">{#N/A,#N/A,FALSE,"PERSONAL"}</definedName>
    <definedName name="hhghhghghhgg" localSheetId="1" hidden="1">{#N/A,#N/A,FALSE,"PERSONAL"}</definedName>
    <definedName name="hhghhghghhgg" localSheetId="0" hidden="1">{#N/A,#N/A,FALSE,"PERSONAL"}</definedName>
    <definedName name="hhghhghghhgg" hidden="1">{#N/A,#N/A,FALSE,"PERSONAL"}</definedName>
    <definedName name="hhh" localSheetId="1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hh" localSheetId="10" hidden="1">{#N/A,#N/A,FALSE,"PERSONAL"}</definedName>
    <definedName name="hhhhhhhhhh" localSheetId="1" hidden="1">{#N/A,#N/A,FALSE,"PERSONAL"}</definedName>
    <definedName name="hhhhhhhhhh" localSheetId="0" hidden="1">{#N/A,#N/A,FALSE,"PERSONAL"}</definedName>
    <definedName name="hhhhhhhhhh" hidden="1">{#N/A,#N/A,FALSE,"PERSONAL"}</definedName>
    <definedName name="hhhhhho" localSheetId="1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K" localSheetId="10" hidden="1">{#N/A,#N/A,FALSE,"PERSONAL"}</definedName>
    <definedName name="HIK" localSheetId="1" hidden="1">{#N/A,#N/A,FALSE,"PERSONAL"}</definedName>
    <definedName name="HIK" localSheetId="0" hidden="1">{#N/A,#N/A,FALSE,"PERSONAL"}</definedName>
    <definedName name="HIK" hidden="1">{#N/A,#N/A,FALSE,"PERSONAL"}</definedName>
    <definedName name="HISTORICO" localSheetId="10" hidden="1">{#N/A,#N/A,FALSE,"Costos Productos 6A";#N/A,#N/A,FALSE,"Costo Unitario Total H-94-12"}</definedName>
    <definedName name="HISTORICO" localSheetId="1" hidden="1">{#N/A,#N/A,FALSE,"Costos Productos 6A";#N/A,#N/A,FALSE,"Costo Unitario Total H-94-12"}</definedName>
    <definedName name="HISTORICO" localSheetId="0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isYear_0" localSheetId="10" hidden="1">#REF!</definedName>
    <definedName name="HisYear_0" hidden="1">#REF!</definedName>
    <definedName name="HisYear_1" localSheetId="10" hidden="1">#REF!</definedName>
    <definedName name="HisYear_1" hidden="1">#REF!</definedName>
    <definedName name="HisYear_2" localSheetId="10" hidden="1">#REF!</definedName>
    <definedName name="HisYear_2" hidden="1">#REF!</definedName>
    <definedName name="HisYear_3" localSheetId="10" hidden="1">#REF!</definedName>
    <definedName name="HisYear_3" hidden="1">#REF!</definedName>
    <definedName name="hjfg" localSheetId="1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J" localSheetId="10" hidden="1">{#N/A,#N/A,FALSE,"PERSONAL"}</definedName>
    <definedName name="HKJ" localSheetId="1" hidden="1">{#N/A,#N/A,FALSE,"PERSONAL"}</definedName>
    <definedName name="HKJ" localSheetId="0" hidden="1">{#N/A,#N/A,FALSE,"PERSONAL"}</definedName>
    <definedName name="HKJ" hidden="1">{#N/A,#N/A,FALSE,"PERSONAL"}</definedName>
    <definedName name="hn" localSheetId="1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localSheetId="10" hidden="1">#REF!,#REF!,#REF!,#REF!,#REF!,#REF!,#REF!,#REF!,#REF!,#REF!</definedName>
    <definedName name="hn.ConvertZero1" hidden="1">#REF!,#REF!,#REF!,#REF!,#REF!,#REF!,#REF!,#REF!,#REF!,#REF!</definedName>
    <definedName name="hn.ConvertZero2" localSheetId="10" hidden="1">#REF!,#REF!,#REF!,#REF!,#REF!,#REF!,#REF!,#REF!</definedName>
    <definedName name="hn.ConvertZero2" hidden="1">#REF!,#REF!,#REF!,#REF!,#REF!,#REF!,#REF!,#REF!</definedName>
    <definedName name="hn.ConvertZero3" localSheetId="10" hidden="1">#REF!,#REF!,#REF!,#REF!,#REF!</definedName>
    <definedName name="hn.ConvertZero3" hidden="1">#REF!,#REF!,#REF!,#REF!,#REF!</definedName>
    <definedName name="hn.ConvertZero4" localSheetId="10" hidden="1">#REF!,#REF!,#REF!,#REF!,#REF!,#REF!,#REF!,#REF!</definedName>
    <definedName name="hn.ConvertZero4" hidden="1">#REF!,#REF!,#REF!,#REF!,#REF!,#REF!,#REF!,#REF!</definedName>
    <definedName name="hn.ConvertZeroUnhide1" localSheetId="10" hidden="1">#REF!,#REF!,#REF!</definedName>
    <definedName name="hn.ConvertZeroUnhide1" hidden="1">#REF!,#REF!,#REF!</definedName>
    <definedName name="hn.Delete015" localSheetId="10" hidden="1">#REF!,#REF!,#REF!,#REF!</definedName>
    <definedName name="hn.Delete015" hidden="1">#REF!,#REF!,#REF!,#REF!</definedName>
    <definedName name="hn.DZ_MultByFXRates" localSheetId="10" hidden="1">#REF!,#REF!,#REF!,#REF!</definedName>
    <definedName name="hn.DZ_MultByFXRates" hidden="1">#REF!,#REF!,#REF!,#REF!</definedName>
    <definedName name="hn.ExtDb" hidden="1">FALSE</definedName>
    <definedName name="hn.LTM_MultByFXRates" localSheetId="10" hidden="1">#REF!,#REF!,#REF!,#REF!,#REF!,#REF!,#REF!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localSheetId="10" hidden="1">#REF!,#REF!,#REF!,#REF!,#REF!,#REF!,#REF!</definedName>
    <definedName name="hn.MultbyFXRates" hidden="1">#REF!,#REF!,#REF!,#REF!,#REF!,#REF!,#REF!</definedName>
    <definedName name="hn.MultByFXRates1" localSheetId="10" hidden="1">#REF!,#REF!,#REF!,#REF!,#REF!</definedName>
    <definedName name="hn.MultByFXRates1" hidden="1">#REF!,#REF!,#REF!,#REF!,#REF!</definedName>
    <definedName name="hn.MultByFXRates2" localSheetId="10" hidden="1">#REF!,#REF!,#REF!,#REF!,#REF!</definedName>
    <definedName name="hn.MultByFXRates2" hidden="1">#REF!,#REF!,#REF!,#REF!,#REF!</definedName>
    <definedName name="hn.MultByFXRates3" localSheetId="10" hidden="1">#REF!,#REF!,#REF!,#REF!,#REF!</definedName>
    <definedName name="hn.MultByFXRates3" hidden="1">#REF!,#REF!,#REF!,#REF!,#REF!</definedName>
    <definedName name="hn.MultbyFxrates4" localSheetId="10" hidden="1">#REF!,#REF!,#REF!,#REF!,#REF!,#REF!,#REF!</definedName>
    <definedName name="hn.MultbyFxrates4" hidden="1">#REF!,#REF!,#REF!,#REF!,#REF!,#REF!,#REF!</definedName>
    <definedName name="hn.multbyfxrates5" localSheetId="10" hidden="1">#REF!,#REF!,#REF!,#REF!,#REF!</definedName>
    <definedName name="hn.multbyfxrates5" hidden="1">#REF!,#REF!,#REF!,#REF!,#REF!</definedName>
    <definedName name="hn.multbyfxrates6" localSheetId="10" hidden="1">#REF!,#REF!,#REF!,#REF!,#REF!</definedName>
    <definedName name="hn.multbyfxrates6" hidden="1">#REF!,#REF!,#REF!,#REF!,#REF!</definedName>
    <definedName name="hn.multbyfxrates7" localSheetId="10" hidden="1">#REF!,#REF!,#REF!,#REF!,#REF!</definedName>
    <definedName name="hn.multbyfxrates7" hidden="1">#REF!,#REF!,#REF!,#REF!,#REF!</definedName>
    <definedName name="hn.MultByFXRatesBot1" localSheetId="10" hidden="1">#REF!,#REF!,#REF!,#REF!,#REF!,#REF!,#REF!,#REF!,#REF!,#REF!,#REF!,#REF!</definedName>
    <definedName name="hn.MultByFXRatesBot1" hidden="1">#REF!,#REF!,#REF!,#REF!,#REF!,#REF!,#REF!,#REF!,#REF!,#REF!,#REF!,#REF!</definedName>
    <definedName name="hn.MultByFXRatesBot2" localSheetId="10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localSheetId="10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localSheetId="10" hidden="1">#REF!,#REF!,#REF!,#REF!,#REF!,#REF!,#REF!,#REF!,#REF!,#REF!,#REF!,#REF!,#REF!</definedName>
    <definedName name="hn.MultByFXRatesBot4" hidden="1">#REF!,#REF!,#REF!,#REF!,#REF!,#REF!,#REF!,#REF!,#REF!,#REF!,#REF!,#REF!,#REF!</definedName>
    <definedName name="hn.MultByFXRatesBot5" localSheetId="10" hidden="1">#REF!,#REF!,#REF!,#REF!,#REF!,#REF!,#REF!,#REF!,#REF!,#REF!,#REF!</definedName>
    <definedName name="hn.MultByFXRatesBot5" hidden="1">#REF!,#REF!,#REF!,#REF!,#REF!,#REF!,#REF!,#REF!,#REF!,#REF!,#REF!</definedName>
    <definedName name="hn.MultByFXRatesBot6" localSheetId="10" hidden="1">#REF!,#REF!,#REF!,#REF!,#REF!,#REF!,#REF!,#REF!,#REF!,#REF!,#REF!</definedName>
    <definedName name="hn.MultByFXRatesBot6" hidden="1">#REF!,#REF!,#REF!,#REF!,#REF!,#REF!,#REF!,#REF!,#REF!,#REF!,#REF!</definedName>
    <definedName name="hn.MultByFXRatesBot7" localSheetId="10" hidden="1">#REF!,#REF!,#REF!,#REF!,#REF!,#REF!,#REF!,#REF!,#REF!,#REF!,#REF!</definedName>
    <definedName name="hn.MultByFXRatesBot7" hidden="1">#REF!,#REF!,#REF!,#REF!,#REF!,#REF!,#REF!,#REF!,#REF!,#REF!,#REF!</definedName>
    <definedName name="hn.MultByFXRatesTop1" localSheetId="10" hidden="1">#REF!,#REF!,#REF!,#REF!,#REF!,#REF!,#REF!,#REF!,#REF!,#REF!,#REF!,#REF!</definedName>
    <definedName name="hn.MultByFXRatesTop1" hidden="1">#REF!,#REF!,#REF!,#REF!,#REF!,#REF!,#REF!,#REF!,#REF!,#REF!,#REF!,#REF!</definedName>
    <definedName name="hn.MultByFXRatesTop2" localSheetId="10" hidden="1">#REF!,#REF!,#REF!,#REF!,#REF!,#REF!,#REF!,#REF!,#REF!,#REF!,#REF!,#REF!,#REF!,#REF!,#REF!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localSheetId="10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localSheetId="10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localSheetId="10" hidden="1">#REF!,#REF!,#REF!,#REF!,#REF!,#REF!,#REF!,#REF!,#REF!,#REF!,#REF!,#REF!</definedName>
    <definedName name="hn.MultByFXRatesTop5" hidden="1">#REF!,#REF!,#REF!,#REF!,#REF!,#REF!,#REF!,#REF!,#REF!,#REF!,#REF!,#REF!</definedName>
    <definedName name="hn.MultByFXRatesTop6" localSheetId="10" hidden="1">#REF!,#REF!,#REF!,#REF!,#REF!,#REF!,#REF!,#REF!,#REF!,#REF!,#REF!,#REF!,#REF!,#REF!,#REF!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localSheetId="10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localSheetId="10" hidden="1">#REF!</definedName>
    <definedName name="hn.YearLabel" hidden="1">#REF!</definedName>
    <definedName name="hoy" hidden="1">#N/A</definedName>
    <definedName name="hreer" localSheetId="1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IT" localSheetId="10" hidden="1">{#N/A,#N/A,FALSE,"CIBHA05A";#N/A,#N/A,FALSE,"CIBHA05B"}</definedName>
    <definedName name="HSIT" localSheetId="1" hidden="1">{#N/A,#N/A,FALSE,"CIBHA05A";#N/A,#N/A,FALSE,"CIBHA05B"}</definedName>
    <definedName name="HSIT" localSheetId="0" hidden="1">{#N/A,#N/A,FALSE,"CIBHA05A";#N/A,#N/A,FALSE,"CIBHA05B"}</definedName>
    <definedName name="HSIT" hidden="1">{#N/A,#N/A,FALSE,"CIBHA05A";#N/A,#N/A,FALSE,"CIBHA05B"}</definedName>
    <definedName name="hthdrf" localSheetId="1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_Control" localSheetId="1" hidden="1">{"'下期集計（10.27迄・速報値）'!$Q$16"}</definedName>
    <definedName name="HTM_Control" localSheetId="0" hidden="1">{"'下期集計（10.27迄・速報値）'!$Q$16"}</definedName>
    <definedName name="HTM_Control" hidden="1">{"'下期集計（10.27迄・速報値）'!$Q$16"}</definedName>
    <definedName name="ＨＴＭＬ" localSheetId="1" hidden="1">{"'コメント'!$A$1:$C$37"}</definedName>
    <definedName name="ＨＴＭＬ" localSheetId="0" hidden="1">{"'コメント'!$A$1:$C$37"}</definedName>
    <definedName name="ＨＴＭＬ" hidden="1">{"'コメント'!$A$1:$C$37"}</definedName>
    <definedName name="HTML_CodePage" hidden="1">1252</definedName>
    <definedName name="HTML_Control" localSheetId="10" hidden="1">{"'dir.g'!$A$1","'Horarios'!$A$4:$D$5"}</definedName>
    <definedName name="HTML_Control" localSheetId="1" hidden="1">{"'dir.g'!$A$1","'Horarios'!$A$4:$D$5"}</definedName>
    <definedName name="HTML_Control" localSheetId="0" hidden="1">{"'dir.g'!$A$1","'Horarios'!$A$4:$D$5"}</definedName>
    <definedName name="HTML_Control" hidden="1">{"'dir.g'!$A$1","'Horarios'!$A$4:$D$5"}</definedName>
    <definedName name="HTML_Control2" localSheetId="1" hidden="1">{"'Parámetros'!$A$3:$C$3"}</definedName>
    <definedName name="HTML_Control2" localSheetId="0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localSheetId="10" hidden="1">"dir.g"</definedName>
    <definedName name="HTML_Header" hidden="1">"dir.g"</definedName>
    <definedName name="HTML_LastUpdate" localSheetId="10" hidden="1">"28/01/03"</definedName>
    <definedName name="HTML_LastUpdate" hidden="1">"28/01/03"</definedName>
    <definedName name="HTML_LineAfter" hidden="1">FALSE</definedName>
    <definedName name="HTML_LineBefore" localSheetId="10" hidden="1">FALSE</definedName>
    <definedName name="HTML_LineBefore" hidden="1">FALSE</definedName>
    <definedName name="HTML_Name" localSheetId="10" hidden="1">"BANCAFE"</definedName>
    <definedName name="HTML_Name" hidden="1">"BANCAFE"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10" hidden="1">"E:\Dirtel.htm"</definedName>
    <definedName name="HTML_PathFile" hidden="1">"E:\Dirtel.htm"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localSheetId="10" hidden="1">"Dirtel2002"</definedName>
    <definedName name="HTML_Title" hidden="1">"Dirtel2002"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ousi" hidden="1">#REF!</definedName>
    <definedName name="hytirs" localSheetId="1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i" localSheetId="1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TO_IVA" localSheetId="10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IMPTO_IVA" localSheetId="1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IMPTO_IVA" localSheetId="0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IMPTO_IVA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Incomepb" localSheetId="10" hidden="1">#REF!</definedName>
    <definedName name="Incomepb" hidden="1">#REF!</definedName>
    <definedName name="incoval" localSheetId="10" hidden="1">{"via1",#N/A,TRUE,"general";"via2",#N/A,TRUE,"general";"via3",#N/A,TRUE,"general"}</definedName>
    <definedName name="incoval" localSheetId="1" hidden="1">{"via1",#N/A,TRUE,"general";"via2",#N/A,TRUE,"general";"via3",#N/A,TRUE,"general"}</definedName>
    <definedName name="incoval" localSheetId="0" hidden="1">{"via1",#N/A,TRUE,"general";"via2",#N/A,TRUE,"general";"via3",#N/A,TRUE,"general"}</definedName>
    <definedName name="incoval" hidden="1">{"via1",#N/A,TRUE,"general";"via2",#N/A,TRUE,"general";"via3",#N/A,TRUE,"general"}</definedName>
    <definedName name="INDPYG9698" localSheetId="10" hidden="1">{#N/A,#N/A,FALSE,"Costos Productos 6A";#N/A,#N/A,FALSE,"Costo Unitario Total H-94-12"}</definedName>
    <definedName name="INDPYG9698" localSheetId="1" hidden="1">{#N/A,#N/A,FALSE,"Costos Productos 6A";#N/A,#N/A,FALSE,"Costo Unitario Total H-94-12"}</definedName>
    <definedName name="INDPYG9698" localSheetId="0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FORME" localSheetId="10" hidden="1">{#N/A,#N/A,FALSE,"Hoja1";#N/A,#N/A,FALSE,"Hoja2"}</definedName>
    <definedName name="INFORME" localSheetId="1" hidden="1">{#N/A,#N/A,FALSE,"Hoja1";#N/A,#N/A,FALSE,"Hoja2"}</definedName>
    <definedName name="INFORME" localSheetId="0" hidden="1">{#N/A,#N/A,FALSE,"Hoja1";#N/A,#N/A,FALSE,"Hoja2"}</definedName>
    <definedName name="INFORME" hidden="1">{#N/A,#N/A,FALSE,"Hoja1";#N/A,#N/A,FALSE,"Hoja2"}</definedName>
    <definedName name="informe_agosto5_montecz" localSheetId="10" hidden="1">{#N/A,#N/A,FALSE,"Hoja1";#N/A,#N/A,FALSE,"Hoja2"}</definedName>
    <definedName name="informe_agosto5_montecz" localSheetId="1" hidden="1">{#N/A,#N/A,FALSE,"Hoja1";#N/A,#N/A,FALSE,"Hoja2"}</definedName>
    <definedName name="informe_agosto5_montecz" localSheetId="0" hidden="1">{#N/A,#N/A,FALSE,"Hoja1";#N/A,#N/A,FALSE,"Hoja2"}</definedName>
    <definedName name="informe_agosto5_montecz" hidden="1">{#N/A,#N/A,FALSE,"Hoja1";#N/A,#N/A,FALSE,"Hoja2"}</definedName>
    <definedName name="ING" localSheetId="1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localSheetId="10" hidden="1">#REF!</definedName>
    <definedName name="INGENIERIA1" hidden="1">#REF!</definedName>
    <definedName name="INGENIERIA11" localSheetId="10" hidden="1">#REF!</definedName>
    <definedName name="INGENIERIA11" hidden="1">#REF!</definedName>
    <definedName name="INGREHIS" localSheetId="10" hidden="1">{#N/A,#N/A,FALSE,"CIBHA05A";#N/A,#N/A,FALSE,"CIBHA05B"}</definedName>
    <definedName name="INGREHIS" localSheetId="1" hidden="1">{#N/A,#N/A,FALSE,"CIBHA05A";#N/A,#N/A,FALSE,"CIBHA05B"}</definedName>
    <definedName name="INGREHIS" localSheetId="0" hidden="1">{#N/A,#N/A,FALSE,"CIBHA05A";#N/A,#N/A,FALSE,"CIBHA05B"}</definedName>
    <definedName name="INGREHIS" hidden="1">{#N/A,#N/A,FALSE,"CIBHA05A";#N/A,#N/A,FALSE,"CIBHA05B"}</definedName>
    <definedName name="Ingresos" localSheetId="1" hidden="1">{"'Sheet2'!$A$3:$B$17"}</definedName>
    <definedName name="Ingresos" localSheetId="0" hidden="1">{"'Sheet2'!$A$3:$B$17"}</definedName>
    <definedName name="Ingresos" hidden="1">{"'Sheet2'!$A$3:$B$17"}</definedName>
    <definedName name="Ingresos06" localSheetId="10" hidden="1">{"'Sheet2'!$A$3:$B$17"}</definedName>
    <definedName name="Ingresos06" localSheetId="1" hidden="1">{"'Sheet2'!$A$3:$B$17"}</definedName>
    <definedName name="Ingresos06" localSheetId="0" hidden="1">{"'Sheet2'!$A$3:$B$17"}</definedName>
    <definedName name="Ingresos06" hidden="1">{"'Sheet2'!$A$3:$B$17"}</definedName>
    <definedName name="INSTRU" localSheetId="10" hidden="1">{#N/A,#N/A,TRUE,"INGENIERIA";#N/A,#N/A,TRUE,"COMPRAS";#N/A,#N/A,TRUE,"DIRECCION";#N/A,#N/A,TRUE,"RESUMEN"}</definedName>
    <definedName name="INSTRU" localSheetId="1" hidden="1">{#N/A,#N/A,TRUE,"INGENIERIA";#N/A,#N/A,TRUE,"COMPRAS";#N/A,#N/A,TRUE,"DIRECCION";#N/A,#N/A,TRUE,"RESUMEN"}</definedName>
    <definedName name="INSTRU" localSheetId="0" hidden="1">{#N/A,#N/A,TRUE,"INGENIERIA";#N/A,#N/A,TRUE,"COMPRAS";#N/A,#N/A,TRUE,"DIRECCION";#N/A,#N/A,TRUE,"RESUMEN"}</definedName>
    <definedName name="INSTRU" hidden="1">{#N/A,#N/A,TRUE,"INGENIERIA";#N/A,#N/A,TRUE,"COMPRAS";#N/A,#N/A,TRUE,"DIRECCION";#N/A,#N/A,TRUE,"RESUMEN"}</definedName>
    <definedName name="INTERVENTORÍA" localSheetId="1" hidden="1">{"via1",#N/A,TRUE,"general";"via2",#N/A,TRUE,"general";"via3",#N/A,TRUE,"general"}</definedName>
    <definedName name="INTERVENTORÍA" localSheetId="0" hidden="1">{"via1",#N/A,TRUE,"general";"via2",#N/A,TRUE,"general";"via3",#N/A,TRUE,"general"}</definedName>
    <definedName name="INTERVENTORÍA" hidden="1">{"via1",#N/A,TRUE,"general";"via2",#N/A,TRUE,"general";"via3",#N/A,TRUE,"general"}</definedName>
    <definedName name="IOPIOU" localSheetId="10" hidden="1">{#N/A,#N/A,FALSE,"Costos Productos 6A";#N/A,#N/A,FALSE,"Costo Unitario Total H-94-12"}</definedName>
    <definedName name="IOPIOU" localSheetId="1" hidden="1">{#N/A,#N/A,FALSE,"Costos Productos 6A";#N/A,#N/A,FALSE,"Costo Unitario Total H-94-12"}</definedName>
    <definedName name="IOPIOU" localSheetId="0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INDUSTRY_REC" hidden="1">"c4455"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localSheetId="10" hidden="1">"c116"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GW_ACT_OR_EST" hidden="1">"c4306"</definedName>
    <definedName name="IQ_EBIT_INT" hidden="1">"c360"</definedName>
    <definedName name="IQ_EBIT_MARGIN" hidden="1">"c359"</definedName>
    <definedName name="IQ_EBIT_OVER_IE" hidden="1">"c1369"</definedName>
    <definedName name="IQ_EBIT_SBC_ACT_OR_EST" hidden="1">"c4316"</definedName>
    <definedName name="IQ_EBIT_SBC_GW_ACT_OR_EST" hidden="1">"c4320"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HIGH_EST" hidden="1">"c370"</definedName>
    <definedName name="IQ_EBITDA_HIGH_EST_REUT" hidden="1">"c3642"</definedName>
    <definedName name="IQ_EBITDA_INT" hidden="1">"c373"</definedName>
    <definedName name="IQ_EBITDA_LOW_EST" hidden="1">"c371"</definedName>
    <definedName name="IQ_EBITDA_LOW_EST_REUT" hidden="1">"c3643"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SBC_ACT_OR_EST" hidden="1">"c4350"</definedName>
    <definedName name="IQ_EBT_SBC_GW_ACT_OR_EST" hidden="1">"c4354"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EST_REUT" hidden="1">"c5453"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UM_EST" hidden="1">"c402"</definedName>
    <definedName name="IQ_EPS_NUM_EST_REUT" hidden="1">"c5451"</definedName>
    <definedName name="IQ_EPS_SBC_ACT_OR_EST" hidden="1">"c4376"</definedName>
    <definedName name="IQ_EPS_SBC_GW_ACT_OR_EST" hidden="1">"c4380"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EPS_DIFF" hidden="1">"c1864"</definedName>
    <definedName name="IQ_EST_EPS_GROWTH_1YR" hidden="1">"c1636"</definedName>
    <definedName name="IQ_EST_EPS_GROWTH_1YR_REUT" hidden="1">"c3646"</definedName>
    <definedName name="IQ_EST_EPS_GROWTH_5YR" hidden="1">"c1655"</definedName>
    <definedName name="IQ_EST_EPS_GROWTH_5YR_REUT" hidden="1">"c3633"</definedName>
    <definedName name="IQ_EST_EPS_GROWTH_Q_1YR" hidden="1">"c1641"</definedName>
    <definedName name="IQ_EST_EPS_GROWTH_Q_1YR_REUT" hidden="1">"c5410"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DJ_ACT_OR_EST" hidden="1">"c4435"</definedName>
    <definedName name="IQ_FFO_PAYOUT_RATIO" hidden="1">"c3492"</definedName>
    <definedName name="IQ_FFO_SHARE_ACT_OR_EST" hidden="1">"c4446"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_TARGET_PRICE_REUT" hidden="1">"c5317"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40809.7705439815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BC_ACT_OR_EST" hidden="1">"c4474"</definedName>
    <definedName name="IQ_NI_SBC_GW_ACT_OR_EST" hidden="1">"c4478"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localSheetId="10" hidden="1">"c1023"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REUT" hidden="1">"c3631"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SHARE_ACT_OR_EST" hidden="1">"c4508"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"c2903"</definedName>
    <definedName name="IQ_RETAIL_ACQUIRED_OWNED_STORES" hidden="1">"c2895"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EST_REUT" hidden="1">"c3634"</definedName>
    <definedName name="IQ_REVENUE_HIGH_EST" hidden="1">"c1127"</definedName>
    <definedName name="IQ_REVENUE_HIGH_EST_REUT" hidden="1">"c3636"</definedName>
    <definedName name="IQ_REVENUE_LOW_EST" hidden="1">"c1128"</definedName>
    <definedName name="IQ_REVENUE_LOW_EST_REUT" hidden="1">"c3637"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EVISION_DATE_" localSheetId="10" hidden="1">39310.4362615741</definedName>
    <definedName name="IQ_REVISION_DATE_" hidden="1">39310.4362615741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BANK" hidden="1">"c2637"</definedName>
    <definedName name="IQ_SP_BANK_ACTION" hidden="1">"c2636"</definedName>
    <definedName name="IQ_SP_BANK_DATE" hidden="1">"c2635"</definedName>
    <definedName name="IQ_SP_DATE" hidden="1">"c2172"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localSheetId="10" hidden="1">#REF!</definedName>
    <definedName name="irng" hidden="1">#REF!</definedName>
    <definedName name="IsColHidden" hidden="1">FALSE</definedName>
    <definedName name="IsLTMColHidden" hidden="1">FALSE</definedName>
    <definedName name="IsSecureRevolver" localSheetId="10" hidden="1">#REF!</definedName>
    <definedName name="IsSecureRevolver" hidden="1">#REF!</definedName>
    <definedName name="IsSecureSenior1" localSheetId="10" hidden="1">#REF!</definedName>
    <definedName name="IsSecureSenior1" hidden="1">#REF!</definedName>
    <definedName name="IsSecureSenior2" localSheetId="10" hidden="1">#REF!</definedName>
    <definedName name="IsSecureSenior2" hidden="1">#REF!</definedName>
    <definedName name="IsSecureSenior3" localSheetId="10" hidden="1">#REF!</definedName>
    <definedName name="IsSecureSenior3" hidden="1">#REF!</definedName>
    <definedName name="IsSecureSenior4" localSheetId="10" hidden="1">#REF!</definedName>
    <definedName name="IsSecureSenior4" hidden="1">#REF!</definedName>
    <definedName name="IsSecureSenior5" localSheetId="10" hidden="1">#REF!</definedName>
    <definedName name="IsSecureSenior5" hidden="1">#REF!</definedName>
    <definedName name="IsSecureSenior6" localSheetId="10" hidden="1">#REF!</definedName>
    <definedName name="IsSecureSenior6" hidden="1">#REF!</definedName>
    <definedName name="IsSecureSenior7" localSheetId="10" hidden="1">#REF!</definedName>
    <definedName name="IsSecureSenior7" hidden="1">#REF!</definedName>
    <definedName name="IUI" localSheetId="1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_DIJE" localSheetId="10" hidden="1">{#N/A,#N/A,FALSE,"137.2.R";#N/A,#N/A,FALSE,"137.3.R";#N/A,#N/A,FALSE,"137.4.R";#N/A,#N/A,FALSE,"138.R";#N/A,#N/A,FALSE,"140.R";#N/A,#N/A,FALSE,"145.R";#N/A,#N/A,FALSE,"146.R"}</definedName>
    <definedName name="IVA_DIJE" localSheetId="1" hidden="1">{#N/A,#N/A,FALSE,"137.2.R";#N/A,#N/A,FALSE,"137.3.R";#N/A,#N/A,FALSE,"137.4.R";#N/A,#N/A,FALSE,"138.R";#N/A,#N/A,FALSE,"140.R";#N/A,#N/A,FALSE,"145.R";#N/A,#N/A,FALSE,"146.R"}</definedName>
    <definedName name="IVA_DIJE" localSheetId="0" hidden="1">{#N/A,#N/A,FALSE,"137.2.R";#N/A,#N/A,FALSE,"137.3.R";#N/A,#N/A,FALSE,"137.4.R";#N/A,#N/A,FALSE,"138.R";#N/A,#N/A,FALSE,"140.R";#N/A,#N/A,FALSE,"145.R";#N/A,#N/A,FALSE,"146.R"}</definedName>
    <definedName name="IVA_DIJE" hidden="1">{#N/A,#N/A,FALSE,"137.2.R";#N/A,#N/A,FALSE,"137.3.R";#N/A,#N/A,FALSE,"137.4.R";#N/A,#N/A,FALSE,"138.R";#N/A,#N/A,FALSE,"140.R";#N/A,#N/A,FALSE,"145.R";#N/A,#N/A,FALSE,"146.R"}</definedName>
    <definedName name="IVADIJE" localSheetId="10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ADIJE" localSheetId="1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ADIJE" localSheetId="0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ADIJE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APORFIADO" localSheetId="10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IVAPORFIADO" localSheetId="1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IVAPORFIADO" localSheetId="0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IVAPORFIADO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IVITA1" localSheetId="1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IVITA1" localSheetId="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IVITA1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IVITA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IVVVVVITA" localSheetId="1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VVVVITA" localSheetId="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VVVVITA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VVVVITA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yuiuyi" localSheetId="1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0" hidden="1">{"TAB1",#N/A,TRUE,"GENERAL";"TAB2",#N/A,TRUE,"GENERAL";"TAB3",#N/A,TRUE,"GENERAL";"TAB4",#N/A,TRUE,"GENERAL";"TAB5",#N/A,TRUE,"GENERAL"}</definedName>
    <definedName name="jd" localSheetId="1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0" hidden="1">#REF!</definedName>
    <definedName name="jfç" hidden="1">#REF!</definedName>
    <definedName name="jfhjfrt" localSheetId="1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hur25" localSheetId="10" hidden="1">#REF!</definedName>
    <definedName name="jfhur25" hidden="1">#REF!</definedName>
    <definedName name="jgfj" localSheetId="1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0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0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fq" localSheetId="1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localSheetId="10" hidden="1">{"SUMINISTRO E INSTALACIÓN CANALETAS L=7.50"}</definedName>
    <definedName name="jjjjj" hidden="1">#REF!</definedName>
    <definedName name="JJJJJJJJJJ" localSheetId="1" hidden="1">{#N/A,#N/A,TRUE,"INGENIERIA";#N/A,#N/A,TRUE,"COMPRAS";#N/A,#N/A,TRUE,"DIRECCION";#N/A,#N/A,TRUE,"RESUMEN"}</definedName>
    <definedName name="JJJJJJJJJJ" localSheetId="0" hidden="1">{#N/A,#N/A,TRUE,"INGENIERIA";#N/A,#N/A,TRUE,"COMPRAS";#N/A,#N/A,TRUE,"DIRECCION";#N/A,#N/A,TRUE,"RESUMEN"}</definedName>
    <definedName name="JJJJJJJJJJ" hidden="1">{#N/A,#N/A,TRUE,"INGENIERIA";#N/A,#N/A,TRUE,"COMPRAS";#N/A,#N/A,TRUE,"DIRECCION";#N/A,#N/A,TRUE,"RESUMEN"}</definedName>
    <definedName name="jjjjjjjjjjjjuuuuuuuuuuuuuuuuggggggggggggggg" hidden="1">#REF!</definedName>
    <definedName name="jjjjju" localSheetId="1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0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localSheetId="10" hidden="1">#REF!</definedName>
    <definedName name="jklj" hidden="1">#REF!</definedName>
    <definedName name="JODER" hidden="1">#REF!</definedName>
    <definedName name="JODER_1" hidden="1">#REF!</definedName>
    <definedName name="JODER_2" hidden="1">#REF!</definedName>
    <definedName name="JOHN" localSheetId="10" hidden="1">{#N/A,#N/A,FALSE,"PERSONAL"}</definedName>
    <definedName name="JOHN" localSheetId="1" hidden="1">{#N/A,#N/A,FALSE,"PERSONAL"}</definedName>
    <definedName name="JOHN" localSheetId="0" hidden="1">{#N/A,#N/A,FALSE,"PERSONAL"}</definedName>
    <definedName name="JOHN" hidden="1">{#N/A,#N/A,FALSE,"PERSONAL"}</definedName>
    <definedName name="jp" localSheetId="10" hidden="1">{#N/A,#N/A,FALSE,"SOACHA"}</definedName>
    <definedName name="jp" localSheetId="1" hidden="1">{#N/A,#N/A,FALSE,"SOACHA"}</definedName>
    <definedName name="jp" localSheetId="0" hidden="1">{#N/A,#N/A,FALSE,"SOACHA"}</definedName>
    <definedName name="jp" hidden="1">{#N/A,#N/A,FALSE,"SOACHA"}</definedName>
    <definedName name="JRYJ" localSheetId="1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localSheetId="1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localSheetId="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localSheetId="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j" localSheetId="1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BKL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localSheetId="10" hidden="1">#REF!</definedName>
    <definedName name="kdmfm" hidden="1">#REF!</definedName>
    <definedName name="kfjskjfsklf" hidden="1">#REF!</definedName>
    <definedName name="KHGGH" localSheetId="1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l" localSheetId="1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 localSheetId="0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SFDSD" localSheetId="10" hidden="1">{#N/A,#N/A,FALSE,"Costos Productos 6A";#N/A,#N/A,FALSE,"Costo Unitario Total H-94-12"}</definedName>
    <definedName name="KJSFDSD" localSheetId="1" hidden="1">{#N/A,#N/A,FALSE,"Costos Productos 6A";#N/A,#N/A,FALSE,"Costo Unitario Total H-94-12"}</definedName>
    <definedName name="KJSFDSD" localSheetId="0" hidden="1">{#N/A,#N/A,FALSE,"Costos Productos 6A";#N/A,#N/A,FALSE,"Costo Unitario Total H-94-12"}</definedName>
    <definedName name="KJSFDSD" hidden="1">{#N/A,#N/A,FALSE,"Costos Productos 6A";#N/A,#N/A,FALSE,"Costo Unitario Total H-94-12"}</definedName>
    <definedName name="kjtrkjr" localSheetId="1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#REF!</definedName>
    <definedName name="kkk" localSheetId="1" hidden="1">{"'下期集計（10.27迄・速報値）'!$Q$16"}</definedName>
    <definedName name="kkk" localSheetId="0" hidden="1">{"'下期集計（10.27迄・速報値）'!$Q$16"}</definedName>
    <definedName name="kkk" hidden="1">{"'下期集計（10.27迄・速報値）'!$Q$16"}</definedName>
    <definedName name="kkkki" localSheetId="1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1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_S" localSheetId="1" hidden="1">{#N/A,#N/A,TRUE,"CODIGO DEPENDENCIA"}</definedName>
    <definedName name="L_S" localSheetId="0" hidden="1">{#N/A,#N/A,TRUE,"CODIGO DEPENDENCIA"}</definedName>
    <definedName name="L_S" hidden="1">{#N/A,#N/A,TRUE,"CODIGO DEPENDENCIA"}</definedName>
    <definedName name="lame" localSheetId="10" hidden="1">#REF!</definedName>
    <definedName name="lame" hidden="1">#REF!</definedName>
    <definedName name="LARGUILLO" hidden="1">#REF!,#REF!,#REF!,#REF!,#REF!,#REF!,#REF!,#REF!,#REF!,#REF!,#REF!,#REF!,#REF!,#REF!,#REF!,#REF!,#REF!,#REF!,#REF!</definedName>
    <definedName name="Left_Header" localSheetId="10" hidden="1">#REF!</definedName>
    <definedName name="Left_Header" hidden="1">#REF!</definedName>
    <definedName name="lidsa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mcount" hidden="1">1</definedName>
    <definedName name="lio" localSheetId="1" hidden="1">{#N/A,#N/A,TRUE,"A"}</definedName>
    <definedName name="lio" localSheetId="0" hidden="1">{#N/A,#N/A,TRUE,"A"}</definedName>
    <definedName name="lio" hidden="1">{#N/A,#N/A,TRUE,"A"}</definedName>
    <definedName name="listado1" localSheetId="10" hidden="1">{#N/A,#N/A,FALSE,"PROPON.2001"}</definedName>
    <definedName name="listado1" localSheetId="1" hidden="1">{#N/A,#N/A,FALSE,"PROPON.2001"}</definedName>
    <definedName name="listado1" localSheetId="0" hidden="1">{#N/A,#N/A,FALSE,"PROPON.2001"}</definedName>
    <definedName name="listado1" hidden="1">{#N/A,#N/A,FALSE,"PROPON.2001"}</definedName>
    <definedName name="ListOffset" hidden="1">1</definedName>
    <definedName name="liuoo" localSheetId="1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" localSheetId="10" hidden="1">{#N/A,#N/A,TRUE,"Unifilar"}</definedName>
    <definedName name="lllllh" localSheetId="1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CAT1999" localSheetId="10" hidden="1">{"SUMINISTRO E INSTALACIÓN CANALETAS L=7.50"}</definedName>
    <definedName name="LOCAT1999" localSheetId="1" hidden="1">{"SUMINISTRO E INSTALACIÓN CANALETAS L=7.50"}</definedName>
    <definedName name="LOCAT1999" localSheetId="0" hidden="1">{"SUMINISTRO E INSTALACIÓN CANALETAS L=7.50"}</definedName>
    <definedName name="LOCAT1999" hidden="1">{"SUMINISTRO E INSTALACIÓN CANALETAS L=7.50"}</definedName>
    <definedName name="lojk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0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localSheetId="1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O" localSheetId="1" hidden="1">{#N/A,#N/A,TRUE,"Summary"}</definedName>
    <definedName name="LONGO" localSheetId="0" hidden="1">{#N/A,#N/A,TRUE,"Summary"}</definedName>
    <definedName name="LONGO" hidden="1">{#N/A,#N/A,TRUE,"Summary"}</definedName>
    <definedName name="lplpl" localSheetId="1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uis" localSheetId="1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luis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luis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lui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LUZ" localSheetId="10" hidden="1">{#N/A,#N/A,FALSE,"PROPON.2001"}</definedName>
    <definedName name="LUZ" localSheetId="1" hidden="1">{#N/A,#N/A,FALSE,"PROPON.2001"}</definedName>
    <definedName name="LUZ" localSheetId="0" hidden="1">{#N/A,#N/A,FALSE,"PROPON.2001"}</definedName>
    <definedName name="LUZ" hidden="1">{#N/A,#N/A,FALSE,"PROPON.2001"}</definedName>
    <definedName name="M" localSheetId="10" hidden="1">{#N/A,#N/A,FALSE,"PROPON.2001"}</definedName>
    <definedName name="mafdsf" localSheetId="1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ma" localSheetId="10" hidden="1">#REF!</definedName>
    <definedName name="mama" hidden="1">#REF!</definedName>
    <definedName name="mao" localSheetId="1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RIA" localSheetId="10" hidden="1">{#N/A,#N/A,FALSE,"PROPON.2001"}</definedName>
    <definedName name="MARTA" localSheetId="10" hidden="1">{#N/A,#N/A,FALSE,"PROPON.2001"}</definedName>
    <definedName name="MASA" hidden="1">#REF!,#REF!,#REF!,#REF!,#REF!,#REF!,#REF!,#REF!,#REF!,#REF!,#REF!,#REF!,#REF!,#REF!,#REF!,#REF!,#REF!,#REF!,#REF!</definedName>
    <definedName name="masor" localSheetId="1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BAS" localSheetId="1" hidden="1">{"'ADV&amp;DP'!$A$4:$C$25"}</definedName>
    <definedName name="MBAS" localSheetId="0" hidden="1">{"'ADV&amp;DP'!$A$4:$C$25"}</definedName>
    <definedName name="MBAS" hidden="1">{"'ADV&amp;DP'!$A$4:$C$25"}</definedName>
    <definedName name="mbs" localSheetId="1" hidden="1">{"'ADV&amp;DP'!$A$4:$C$25"}</definedName>
    <definedName name="mbs" localSheetId="0" hidden="1">{"'ADV&amp;DP'!$A$4:$C$25"}</definedName>
    <definedName name="mbs" hidden="1">{"'ADV&amp;DP'!$A$4:$C$25"}</definedName>
    <definedName name="mdd" localSheetId="1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" localSheetId="1" hidden="1">{#N/A,#N/A,FALSE,"Costos Productos 6A";#N/A,#N/A,FALSE,"Costo Unitario Total H-94-12"}</definedName>
    <definedName name="mem" localSheetId="0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FRI" localSheetId="10" hidden="1">{#N/A,#N/A,TRUE,"Unifilar"}</definedName>
    <definedName name="MEMOFRI" localSheetId="1" hidden="1">{#N/A,#N/A,TRUE,"Unifilar"}</definedName>
    <definedName name="MEMOFRI" localSheetId="0" hidden="1">{#N/A,#N/A,TRUE,"Unifilar"}</definedName>
    <definedName name="MEMOFRI" hidden="1">{#N/A,#N/A,TRUE,"Unifilar"}</definedName>
    <definedName name="memorias" localSheetId="10" hidden="1">{#N/A,#N/A,FALSE,"CIBHA05A";#N/A,#N/A,FALSE,"CIBHA05B"}</definedName>
    <definedName name="memorias" localSheetId="1" hidden="1">{#N/A,#N/A,FALSE,"CIBHA05A";#N/A,#N/A,FALSE,"CIBHA05B"}</definedName>
    <definedName name="memorias" localSheetId="0" hidden="1">{#N/A,#N/A,FALSE,"CIBHA05A";#N/A,#N/A,FALSE,"CIBHA05B"}</definedName>
    <definedName name="memorias" hidden="1">{#N/A,#N/A,FALSE,"CIBHA05A";#N/A,#N/A,FALSE,"CIBHA05B"}</definedName>
    <definedName name="memoru" hidden="1">#REF!</definedName>
    <definedName name="MEMPYGH" localSheetId="10" hidden="1">{#N/A,#N/A,FALSE,"Costos Productos 6A";#N/A,#N/A,FALSE,"Costo Unitario Total H-94-12"}</definedName>
    <definedName name="MEMPYGH" localSheetId="1" hidden="1">{#N/A,#N/A,FALSE,"Costos Productos 6A";#N/A,#N/A,FALSE,"Costo Unitario Total H-94-12"}</definedName>
    <definedName name="MEMPYGH" localSheetId="0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1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t" localSheetId="10" hidden="1">{#N/A,#N/A,TRUE,"1842CWN0"}</definedName>
    <definedName name="met" localSheetId="1" hidden="1">{#N/A,#N/A,TRUE,"1842CWN0"}</definedName>
    <definedName name="met" localSheetId="0" hidden="1">{#N/A,#N/A,TRUE,"1842CWN0"}</definedName>
    <definedName name="met" hidden="1">{#N/A,#N/A,TRUE,"1842CWN0"}</definedName>
    <definedName name="metal" localSheetId="10" hidden="1">{#N/A,#N/A,TRUE,"1842CWN0"}</definedName>
    <definedName name="metal" localSheetId="1" hidden="1">{#N/A,#N/A,TRUE,"1842CWN0"}</definedName>
    <definedName name="metal" localSheetId="0" hidden="1">{#N/A,#N/A,TRUE,"1842CWN0"}</definedName>
    <definedName name="metal" hidden="1">{#N/A,#N/A,TRUE,"1842CWN0"}</definedName>
    <definedName name="mfgjrdt" localSheetId="1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ESCUDO" hidden="1">#REF!</definedName>
    <definedName name="mjmj" localSheetId="1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KK" localSheetId="1" hidden="1">{"'下期集計（10.27迄・速報値）'!$Q$16"}</definedName>
    <definedName name="MKK" localSheetId="0" hidden="1">{"'下期集計（10.27迄・速報値）'!$Q$16"}</definedName>
    <definedName name="MKK" hidden="1">{"'下期集計（10.27迄・速報値）'!$Q$16"}</definedName>
    <definedName name="MLKJ" localSheetId="10" hidden="1">{#N/A,#N/A,FALSE,"Costos Productos 6A";#N/A,#N/A,FALSE,"Costo Unitario Total H-94-12"}</definedName>
    <definedName name="MLKJ" localSheetId="1" hidden="1">{#N/A,#N/A,FALSE,"Costos Productos 6A";#N/A,#N/A,FALSE,"Costo Unitario Total H-94-12"}</definedName>
    <definedName name="MLKJ" localSheetId="0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jmjh" localSheetId="1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h" localSheetId="1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0" hidden="1">{#N/A,#N/A,FALSE,"Hoja1";#N/A,#N/A,FALSE,"Hoja2"}</definedName>
    <definedName name="MOA" localSheetId="1" hidden="1">{#N/A,#N/A,FALSE,"Hoja1";#N/A,#N/A,FALSE,"Hoja2"}</definedName>
    <definedName name="MOA" localSheetId="0" hidden="1">{#N/A,#N/A,FALSE,"Hoja1";#N/A,#N/A,FALSE,"Hoja2"}</definedName>
    <definedName name="MOA" hidden="1">{#N/A,#N/A,FALSE,"Hoja1";#N/A,#N/A,FALSE,"Hoja2"}</definedName>
    <definedName name="MOBILE" localSheetId="1" hidden="1">{"'ADV&amp;DP'!$A$4:$C$25"}</definedName>
    <definedName name="MOBILE" localSheetId="0" hidden="1">{"'ADV&amp;DP'!$A$4:$C$25"}</definedName>
    <definedName name="MOBILE" hidden="1">{"'ADV&amp;DP'!$A$4:$C$25"}</definedName>
    <definedName name="mODI" localSheetId="10" hidden="1">{#N/A,#N/A,FALSE,"nuevo formato actividades";#N/A,#N/A,FALSE,"nuevo formato actividades";#N/A,#N/A,FALSE,"nuevo formato actividades"}</definedName>
    <definedName name="mODI" localSheetId="1" hidden="1">{#N/A,#N/A,FALSE,"nuevo formato actividades";#N/A,#N/A,FALSE,"nuevo formato actividades";#N/A,#N/A,FALSE,"nuevo formato actividades"}</definedName>
    <definedName name="mODI" localSheetId="0" hidden="1">{#N/A,#N/A,FALSE,"nuevo formato actividades";#N/A,#N/A,FALSE,"nuevo formato actividades";#N/A,#N/A,FALSE,"nuevo formato actividades"}</definedName>
    <definedName name="mODI" hidden="1">{#N/A,#N/A,FALSE,"nuevo formato actividades";#N/A,#N/A,FALSE,"nuevo formato actividades";#N/A,#N/A,FALSE,"nuevo formato actividades"}</definedName>
    <definedName name="mODIF" localSheetId="1" hidden="1">{#N/A,#N/A,FALSE,"nuevo formato actividades";#N/A,#N/A,FALSE,"nuevo formato actividades";#N/A,#N/A,FALSE,"nuevo formato actividades"}</definedName>
    <definedName name="mODIF" localSheetId="0" hidden="1">{#N/A,#N/A,FALSE,"nuevo formato actividades";#N/A,#N/A,FALSE,"nuevo formato actividades";#N/A,#N/A,FALSE,"nuevo formato actividades"}</definedName>
    <definedName name="mODIF" hidden="1">{#N/A,#N/A,FALSE,"nuevo formato actividades";#N/A,#N/A,FALSE,"nuevo formato actividades";#N/A,#N/A,FALSE,"nuevo formato actividades"}</definedName>
    <definedName name="MODIVejec" localSheetId="10" hidden="1">{#N/A,#N/A,FALSE,"Hoja1";#N/A,#N/A,FALSE,"Hoja2"}</definedName>
    <definedName name="MODIVejec" localSheetId="1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OE" localSheetId="10" hidden="1">{#N/A,#N/A,FALSE,"Hoja1";#N/A,#N/A,FALSE,"Hoja2"}</definedName>
    <definedName name="MOE" localSheetId="1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V" localSheetId="10" hidden="1">{#N/A,#N/A,FALSE,"Hoja1";#N/A,#N/A,FALSE,"Hoja2"}</definedName>
    <definedName name="MOV" localSheetId="1" hidden="1">{#N/A,#N/A,FALSE,"Hoja1";#N/A,#N/A,FALSE,"Hoja2"}</definedName>
    <definedName name="MOV" localSheetId="0" hidden="1">{#N/A,#N/A,FALSE,"Hoja1";#N/A,#N/A,FALSE,"Hoja2"}</definedName>
    <definedName name="MOV" hidden="1">{#N/A,#N/A,FALSE,"Hoja1";#N/A,#N/A,FALSE,"Hoja2"}</definedName>
    <definedName name="MTL" localSheetId="10" hidden="1">#REF!</definedName>
    <definedName name="MTL" hidden="1">#REF!</definedName>
    <definedName name="MttoUBTransportes" localSheetId="10" hidden="1">#REF!</definedName>
    <definedName name="MttoUBTransportes" hidden="1">#REF!</definedName>
    <definedName name="Municipio" hidden="1">"VILLAGÓMEZ"</definedName>
    <definedName name="nbvnv" localSheetId="1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w" localSheetId="1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localSheetId="1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X" localSheetId="10" hidden="1">{#N/A,#N/A,FALSE,"SMT1";#N/A,#N/A,FALSE,"SMT2";#N/A,#N/A,FALSE,"Summary";#N/A,#N/A,FALSE,"Graphs";#N/A,#N/A,FALSE,"4 Panel"}</definedName>
    <definedName name="newX" localSheetId="1" hidden="1">{#N/A,#N/A,FALSE,"SMT1";#N/A,#N/A,FALSE,"SMT2";#N/A,#N/A,FALSE,"Summary";#N/A,#N/A,FALSE,"Graphs";#N/A,#N/A,FALSE,"4 Panel"}</definedName>
    <definedName name="newX" localSheetId="0" hidden="1">{#N/A,#N/A,FALSE,"SMT1";#N/A,#N/A,FALSE,"SMT2";#N/A,#N/A,FALSE,"Summary";#N/A,#N/A,FALSE,"Graphs";#N/A,#N/A,FALSE,"4 Panel"}</definedName>
    <definedName name="newX" hidden="1">{#N/A,#N/A,FALSE,"SMT1";#N/A,#N/A,FALSE,"SMT2";#N/A,#N/A,FALSE,"Summary";#N/A,#N/A,FALSE,"Graphs";#N/A,#N/A,FALSE,"4 Panel"}</definedName>
    <definedName name="nf" localSheetId="1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" hidden="1">{#N/A,#N/A,FALSE,"SMT1";#N/A,#N/A,FALSE,"SMT2";#N/A,#N/A,FALSE,"Summary";#N/A,#N/A,FALSE,"Graphs";#N/A,#N/A,FALSE,"4 Panel"}</definedName>
    <definedName name="nnn" localSheetId="0" hidden="1">{#N/A,#N/A,FALSE,"SMT1";#N/A,#N/A,FALSE,"SMT2";#N/A,#N/A,FALSE,"Summary";#N/A,#N/A,FALSE,"Graphs";#N/A,#N/A,FALSE,"4 Panel"}</definedName>
    <definedName name="nnn" hidden="1">{#N/A,#N/A,FALSE,"SMT1";#N/A,#N/A,FALSE,"SMT2";#N/A,#N/A,FALSE,"Summary";#N/A,#N/A,FALSE,"Graphs";#N/A,#N/A,FALSE,"4 Panel"}</definedName>
    <definedName name="nnnhd" localSheetId="1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cal2m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emi" localSheetId="10" hidden="1">{#N/A,#N/A,FALSE,"Costos Productos 6A";#N/A,#N/A,FALSE,"Costo Unitario Total H-94-12"}</definedName>
    <definedName name="noemi" localSheetId="1" hidden="1">{#N/A,#N/A,FALSE,"Costos Productos 6A";#N/A,#N/A,FALSE,"Costo Unitario Total H-94-12"}</definedName>
    <definedName name="noemi" localSheetId="0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ORMA" localSheetId="10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NORMA" localSheetId="1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NORMA" localSheetId="0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NORMA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NORTE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ueva" localSheetId="1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localSheetId="1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O2" localSheetId="10" hidden="1">{#N/A,#N/A,FALSE,"Costos Productos 6A";#N/A,#N/A,FALSE,"Costo Unitario Total H-94-12"}</definedName>
    <definedName name="NUEVO2" localSheetId="1" hidden="1">{#N/A,#N/A,FALSE,"Costos Productos 6A";#N/A,#N/A,FALSE,"Costo Unitario Total H-94-12"}</definedName>
    <definedName name="NUEVO2" localSheetId="0" hidden="1">{#N/A,#N/A,FALSE,"Costos Productos 6A";#N/A,#N/A,FALSE,"Costo Unitario Total H-94-12"}</definedName>
    <definedName name="NUEVO2" hidden="1">{#N/A,#N/A,FALSE,"Costos Productos 6A";#N/A,#N/A,FALSE,"Costo Unitario Total H-94-12"}</definedName>
    <definedName name="nxn" localSheetId="1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o" localSheetId="1" hidden="1">{#N/A,#N/A,TRUE,"A"}</definedName>
    <definedName name="ñlo" localSheetId="0" hidden="1">{#N/A,#N/A,TRUE,"A"}</definedName>
    <definedName name="ñlo" hidden="1">{#N/A,#N/A,TRUE,"A"}</definedName>
    <definedName name="ñpl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localSheetId="1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10" hidden="1">#REF!</definedName>
    <definedName name="obras" hidden="1">#REF!</definedName>
    <definedName name="obras11" localSheetId="10" hidden="1">#REF!</definedName>
    <definedName name="obras11" hidden="1">#REF!</definedName>
    <definedName name="OBS_Data_Col" localSheetId="10" hidden="1">#REF!</definedName>
    <definedName name="OBS_Data_Col" hidden="1">#REF!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" localSheetId="1" hidden="1">{#N/A,#N/A,TRUE,"A"}</definedName>
    <definedName name="oi" localSheetId="0" hidden="1">{#N/A,#N/A,TRUE,"A"}</definedName>
    <definedName name="oi" hidden="1">{#N/A,#N/A,TRUE,"A"}</definedName>
    <definedName name="oiret" localSheetId="1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leoducto" localSheetId="10" hidden="1">{"EVA",#N/A,FALSE,"SMT2";#N/A,#N/A,FALSE,"Summary";#N/A,#N/A,FALSE,"Graphs";#N/A,#N/A,FALSE,"4 Panel"}</definedName>
    <definedName name="oleoducto" localSheetId="1" hidden="1">{"EVA",#N/A,FALSE,"SMT2";#N/A,#N/A,FALSE,"Summary";#N/A,#N/A,FALSE,"Graphs";#N/A,#N/A,FALSE,"4 Panel"}</definedName>
    <definedName name="oleoducto" localSheetId="0" hidden="1">{"EVA",#N/A,FALSE,"SMT2";#N/A,#N/A,FALSE,"Summary";#N/A,#N/A,FALSE,"Graphs";#N/A,#N/A,FALSE,"4 Panel"}</definedName>
    <definedName name="oleoducto" hidden="1">{"EVA",#N/A,FALSE,"SMT2";#N/A,#N/A,FALSE,"Summary";#N/A,#N/A,FALSE,"Graphs";#N/A,#N/A,FALSE,"4 Panel"}</definedName>
    <definedName name="ooo" localSheetId="10" hidden="1">{"via1",#N/A,TRUE,"general";"via2",#N/A,TRUE,"general";"via3",#N/A,TRUE,"general"}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ningpb" localSheetId="10" hidden="1">#REF!</definedName>
    <definedName name="Openingpb" hidden="1">#REF!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0" hidden="1">#REF!</definedName>
    <definedName name="OROZCO" hidden="1">#REF!</definedName>
    <definedName name="oscar" hidden="1">#REF!</definedName>
    <definedName name="OTRAAAAA" localSheetId="10" hidden="1">{#N/A,#N/A,TRUE,"INGENIERIA";#N/A,#N/A,TRUE,"COMPRAS";#N/A,#N/A,TRUE,"DIRECCION";#N/A,#N/A,TRUE,"RESUMEN"}</definedName>
    <definedName name="OTRAAAAA" localSheetId="1" hidden="1">{#N/A,#N/A,TRUE,"INGENIERIA";#N/A,#N/A,TRUE,"COMPRAS";#N/A,#N/A,TRUE,"DIRECCION";#N/A,#N/A,TRUE,"RESUMEN"}</definedName>
    <definedName name="OTRAAAAA" localSheetId="0" hidden="1">{#N/A,#N/A,TRUE,"INGENIERIA";#N/A,#N/A,TRUE,"COMPRAS";#N/A,#N/A,TRUE,"DIRECCION";#N/A,#N/A,TRUE,"RESUMEN"}</definedName>
    <definedName name="OTRAAAAA" hidden="1">{#N/A,#N/A,TRUE,"INGENIERIA";#N/A,#N/A,TRUE,"COMPRAS";#N/A,#N/A,TRUE,"DIRECCION";#N/A,#N/A,TRUE,"RESUMEN"}</definedName>
    <definedName name="OWNER" localSheetId="10" hidden="1">#REF!</definedName>
    <definedName name="OWNER" hidden="1">#REF!</definedName>
    <definedName name="p.BS" localSheetId="10" hidden="1">#REF!</definedName>
    <definedName name="p.BS" hidden="1">#REF!</definedName>
    <definedName name="p.BSAssumptions" localSheetId="10" hidden="1">#REF!</definedName>
    <definedName name="p.BSAssumptions" hidden="1">#REF!</definedName>
    <definedName name="p.CapStructure" localSheetId="10" hidden="1">#REF!</definedName>
    <definedName name="p.CapStructure" hidden="1">#REF!</definedName>
    <definedName name="p.CashFlow" localSheetId="10" hidden="1">#REF!</definedName>
    <definedName name="p.CashFlow" hidden="1">#REF!</definedName>
    <definedName name="p.Cover" localSheetId="10" hidden="1">#REF!</definedName>
    <definedName name="p.Cover" hidden="1">#REF!</definedName>
    <definedName name="p.Depreciation" localSheetId="10" hidden="1">#REF!</definedName>
    <definedName name="p.Depreciation" hidden="1">#REF!</definedName>
    <definedName name="p.Executive" localSheetId="10" hidden="1">#REF!</definedName>
    <definedName name="p.Executive" hidden="1">#REF!</definedName>
    <definedName name="p.FactSheet" localSheetId="10" hidden="1">#REF!</definedName>
    <definedName name="p.FactSheet" hidden="1">#REF!</definedName>
    <definedName name="p.IS" localSheetId="10" hidden="1">#REF!</definedName>
    <definedName name="p.IS" hidden="1">#REF!</definedName>
    <definedName name="p.ISAssumptions" localSheetId="10" hidden="1">#REF!</definedName>
    <definedName name="p.ISAssumptions" hidden="1">#REF!</definedName>
    <definedName name="p.OpeningBS" localSheetId="10" hidden="1">#REF!</definedName>
    <definedName name="p.OpeningBS" hidden="1">#REF!</definedName>
    <definedName name="p.TaxCalculation" localSheetId="10" hidden="1">#REF!</definedName>
    <definedName name="p.TaxCalculation" hidden="1">#REF!</definedName>
    <definedName name="p0p0" localSheetId="1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l_Workbook_GUID" hidden="1">"SR8S76V89W3LRKYBH7E32JEC"</definedName>
    <definedName name="PASO" localSheetId="10" hidden="1">{#N/A,#N/A,TRUE,"INGENIERIA";#N/A,#N/A,TRUE,"COMPRAS";#N/A,#N/A,TRUE,"DIRECCION";#N/A,#N/A,TRUE,"RESUMEN"}</definedName>
    <definedName name="PASO" localSheetId="1" hidden="1">{#N/A,#N/A,TRUE,"INGENIERIA";#N/A,#N/A,TRUE,"COMPRAS";#N/A,#N/A,TRUE,"DIRECCION";#N/A,#N/A,TRUE,"RESUMEN"}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10" hidden="1">{#N/A,#N/A,TRUE,"INGENIERIA";#N/A,#N/A,TRUE,"COMPRAS";#N/A,#N/A,TRUE,"DIRECCION";#N/A,#N/A,TRUE,"RESUMEN"}</definedName>
    <definedName name="PASS" localSheetId="1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endiente" hidden="1">#REF!</definedName>
    <definedName name="PIA" localSheetId="10" hidden="1">#REF!</definedName>
    <definedName name="PIA" hidden="1">#REF!</definedName>
    <definedName name="piu" localSheetId="1" hidden="1">{#N/A,#N/A,TRUE,"A"}</definedName>
    <definedName name="piu" localSheetId="0" hidden="1">{#N/A,#N/A,TRUE,"A"}</definedName>
    <definedName name="piu" hidden="1">{#N/A,#N/A,TRUE,"A"}</definedName>
    <definedName name="PKHK" localSheetId="1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o" localSheetId="1" hidden="1">{#N/A,#N/A,TRUE,"A"}</definedName>
    <definedName name="plo" localSheetId="0" hidden="1">{#N/A,#N/A,TRUE,"A"}</definedName>
    <definedName name="plo" hidden="1">{#N/A,#N/A,TRUE,"A"}</definedName>
    <definedName name="PLPLUNN" localSheetId="1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localSheetId="10" hidden="1">#REF!</definedName>
    <definedName name="PLUG" hidden="1">#REF!</definedName>
    <definedName name="PMT" localSheetId="10" hidden="1">{#N/A,#N/A,TRUE,"CODIGO DEPENDENCIA"}</definedName>
    <definedName name="POIUP" localSheetId="1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" localSheetId="10" hidden="1">{#N/A,#N/A,FALSE,"Hoja1";#N/A,#N/A,FALSE,"Hoja2"}</definedName>
    <definedName name="POL" localSheetId="1" hidden="1">{#N/A,#N/A,FALSE,"Hoja1";#N/A,#N/A,FALSE,"Hoja2"}</definedName>
    <definedName name="POL" localSheetId="0" hidden="1">{#N/A,#N/A,FALSE,"Hoja1";#N/A,#N/A,FALSE,"Hoja2"}</definedName>
    <definedName name="POL" hidden="1">{#N/A,#N/A,FALSE,"Hoja1";#N/A,#N/A,FALSE,"Hoja2"}</definedName>
    <definedName name="popop" localSheetId="1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 hidden="1">"M:\Datos\PRESUPUESTO Vs GASTOS\DB EJECUCION  PvsG-0SM.mdb"</definedName>
    <definedName name="ppp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pp9" localSheetId="1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" localSheetId="10" hidden="1">#REF!</definedName>
    <definedName name="PPT" hidden="1">#REF!</definedName>
    <definedName name="PPTACUM" localSheetId="10" hidden="1">{#N/A,#N/A,FALSE,"SOACHA"}</definedName>
    <definedName name="PPTACUM" localSheetId="1" hidden="1">{#N/A,#N/A,FALSE,"SOACHA"}</definedName>
    <definedName name="PPTACUM" localSheetId="0" hidden="1">{#N/A,#N/A,FALSE,"SOACHA"}</definedName>
    <definedName name="PPTACUM" hidden="1">{#N/A,#N/A,FALSE,"SOACHA"}</definedName>
    <definedName name="PPTACUMG" localSheetId="10" hidden="1">{#N/A,#N/A,FALSE,"SOACHA"}</definedName>
    <definedName name="PPTACUMG" localSheetId="1" hidden="1">{#N/A,#N/A,FALSE,"SOACHA"}</definedName>
    <definedName name="PPTACUMG" localSheetId="0" hidden="1">{#N/A,#N/A,FALSE,"SOACHA"}</definedName>
    <definedName name="PPTACUMG" hidden="1">{#N/A,#N/A,FALSE,"SOACHA"}</definedName>
    <definedName name="pqroj" localSheetId="1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suDerivGuatDef" localSheetId="1" hidden="1">{"via1",#N/A,TRUE,"general";"via2",#N/A,TRUE,"general";"via3",#N/A,TRUE,"general"}</definedName>
    <definedName name="PresuDerivGuatDef" localSheetId="0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resaDef" localSheetId="1" hidden="1">{"via1",#N/A,TRUE,"general";"via2",#N/A,TRUE,"general";"via3",#N/A,TRUE,"general"}</definedName>
    <definedName name="PresuPresaDef" localSheetId="0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End" localSheetId="10" hidden="1">#REF!</definedName>
    <definedName name="PrintEnd" hidden="1">#REF!</definedName>
    <definedName name="PrintStart" localSheetId="10" hidden="1">#REF!</definedName>
    <definedName name="PrintStart" hidden="1">#REF!</definedName>
    <definedName name="PROG" localSheetId="10" hidden="1">#REF!</definedName>
    <definedName name="PROG" hidden="1">#REF!</definedName>
    <definedName name="proyeccióningresos" localSheetId="10" hidden="1">{"EVA",#N/A,FALSE,"SMT2";#N/A,#N/A,FALSE,"Summary";#N/A,#N/A,FALSE,"Graphs";#N/A,#N/A,FALSE,"4 Panel"}</definedName>
    <definedName name="proyeccióningresos" localSheetId="1" hidden="1">{"EVA",#N/A,FALSE,"SMT2";#N/A,#N/A,FALSE,"Summary";#N/A,#N/A,FALSE,"Graphs";#N/A,#N/A,FALSE,"4 Panel"}</definedName>
    <definedName name="proyeccióningresos" localSheetId="0" hidden="1">{"EVA",#N/A,FALSE,"SMT2";#N/A,#N/A,FALSE,"Summary";#N/A,#N/A,FALSE,"Graphs";#N/A,#N/A,FALSE,"4 Panel"}</definedName>
    <definedName name="proyeccióningresos" hidden="1">{"EVA",#N/A,FALSE,"SMT2";#N/A,#N/A,FALSE,"Summary";#N/A,#N/A,FALSE,"Graphs";#N/A,#N/A,FALSE,"4 Panel"}</definedName>
    <definedName name="proyecto" localSheetId="1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oyecto" localSheetId="1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oyecto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oyecto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UE" localSheetId="10" hidden="1">{#N/A,#N/A,FALSE,"Hoja1";#N/A,#N/A,FALSE,"Hoja2"}</definedName>
    <definedName name="PRUE" localSheetId="1" hidden="1">{#N/A,#N/A,FALSE,"Hoja1";#N/A,#N/A,FALSE,"Hoja2"}</definedName>
    <definedName name="PRUE" localSheetId="0" hidden="1">{#N/A,#N/A,FALSE,"Hoja1";#N/A,#N/A,FALSE,"Hoja2"}</definedName>
    <definedName name="PRUE" hidden="1">{#N/A,#N/A,FALSE,"Hoja1";#N/A,#N/A,FALSE,"Hoja2"}</definedName>
    <definedName name="PSW_CALCULATE_0" localSheetId="10" hidden="1">#REF!</definedName>
    <definedName name="PSW_CALCULATE_0" hidden="1">#REF!</definedName>
    <definedName name="PSW_SAVE_0" localSheetId="10" hidden="1">#REF!</definedName>
    <definedName name="PSW_SAVE_0" hidden="1">#REF!</definedName>
    <definedName name="PSWInput_0_10" localSheetId="10" hidden="1">#REF!</definedName>
    <definedName name="PSWInput_0_10" hidden="1">#REF!</definedName>
    <definedName name="PSWInput_0_11" localSheetId="10" hidden="1">#REF!</definedName>
    <definedName name="PSWInput_0_11" hidden="1">#REF!</definedName>
    <definedName name="PSWInput_0_12" localSheetId="10" hidden="1">#REF!</definedName>
    <definedName name="PSWInput_0_12" hidden="1">#REF!</definedName>
    <definedName name="PSWInput_0_13" localSheetId="10" hidden="1">#REF!</definedName>
    <definedName name="PSWInput_0_13" hidden="1">#REF!</definedName>
    <definedName name="PSWInput_0_14" localSheetId="10" hidden="1">#REF!</definedName>
    <definedName name="PSWInput_0_14" hidden="1">#REF!</definedName>
    <definedName name="PSWInput_0_15" localSheetId="10" hidden="1">#REF!</definedName>
    <definedName name="PSWInput_0_15" hidden="1">#REF!</definedName>
    <definedName name="PSWInput_0_16" localSheetId="10" hidden="1">#REF!</definedName>
    <definedName name="PSWInput_0_16" hidden="1">#REF!</definedName>
    <definedName name="PSWInput_0_17" localSheetId="10" hidden="1">#REF!</definedName>
    <definedName name="PSWInput_0_17" hidden="1">#REF!</definedName>
    <definedName name="PSWInput_0_18" localSheetId="10" hidden="1">#REF!</definedName>
    <definedName name="PSWInput_0_18" hidden="1">#REF!</definedName>
    <definedName name="PSWInput_0_19" localSheetId="10" hidden="1">#REF!</definedName>
    <definedName name="PSWInput_0_19" hidden="1">#REF!</definedName>
    <definedName name="PSWInput_0_2" localSheetId="10" hidden="1">#REF!</definedName>
    <definedName name="PSWInput_0_2" hidden="1">#REF!</definedName>
    <definedName name="PSWInput_0_20" localSheetId="10" hidden="1">#REF!</definedName>
    <definedName name="PSWInput_0_20" hidden="1">#REF!</definedName>
    <definedName name="PSWInput_0_21" localSheetId="10" hidden="1">#REF!</definedName>
    <definedName name="PSWInput_0_21" hidden="1">#REF!</definedName>
    <definedName name="PSWInput_0_22" localSheetId="10" hidden="1">#REF!</definedName>
    <definedName name="PSWInput_0_22" hidden="1">#REF!</definedName>
    <definedName name="PSWInput_0_23" localSheetId="10" hidden="1">#REF!</definedName>
    <definedName name="PSWInput_0_23" hidden="1">#REF!</definedName>
    <definedName name="PSWInput_0_24" localSheetId="10" hidden="1">#REF!</definedName>
    <definedName name="PSWInput_0_24" hidden="1">#REF!</definedName>
    <definedName name="PSWInput_0_25" localSheetId="10" hidden="1">#REF!</definedName>
    <definedName name="PSWInput_0_25" hidden="1">#REF!</definedName>
    <definedName name="PSWInput_0_26" localSheetId="10" hidden="1">#REF!</definedName>
    <definedName name="PSWInput_0_26" hidden="1">#REF!</definedName>
    <definedName name="PSWInput_0_27" localSheetId="10" hidden="1">#REF!</definedName>
    <definedName name="PSWInput_0_27" hidden="1">#REF!</definedName>
    <definedName name="PSWInput_0_28" localSheetId="10" hidden="1">#REF!</definedName>
    <definedName name="PSWInput_0_28" hidden="1">#REF!</definedName>
    <definedName name="PSWInput_0_29" localSheetId="10" hidden="1">#REF!</definedName>
    <definedName name="PSWInput_0_29" hidden="1">#REF!</definedName>
    <definedName name="PSWInput_0_3" localSheetId="10" hidden="1">#REF!</definedName>
    <definedName name="PSWInput_0_3" hidden="1">#REF!</definedName>
    <definedName name="PSWInput_0_30" localSheetId="10" hidden="1">#REF!</definedName>
    <definedName name="PSWInput_0_30" hidden="1">#REF!</definedName>
    <definedName name="PSWInput_0_31" localSheetId="10" hidden="1">#REF!</definedName>
    <definedName name="PSWInput_0_31" hidden="1">#REF!</definedName>
    <definedName name="PSWInput_0_32" localSheetId="10" hidden="1">#REF!</definedName>
    <definedName name="PSWInput_0_32" hidden="1">#REF!</definedName>
    <definedName name="PSWInput_0_33" localSheetId="10" hidden="1">#REF!</definedName>
    <definedName name="PSWInput_0_33" hidden="1">#REF!</definedName>
    <definedName name="PSWInput_0_34" localSheetId="10" hidden="1">#REF!</definedName>
    <definedName name="PSWInput_0_34" hidden="1">#REF!</definedName>
    <definedName name="PSWInput_0_35" localSheetId="10" hidden="1">#REF!</definedName>
    <definedName name="PSWInput_0_35" hidden="1">#REF!</definedName>
    <definedName name="PSWInput_0_36" localSheetId="10" hidden="1">#REF!</definedName>
    <definedName name="PSWInput_0_36" hidden="1">#REF!</definedName>
    <definedName name="PSWInput_0_37" localSheetId="10" hidden="1">#REF!</definedName>
    <definedName name="PSWInput_0_37" hidden="1">#REF!</definedName>
    <definedName name="PSWInput_0_38" localSheetId="10" hidden="1">#REF!</definedName>
    <definedName name="PSWInput_0_38" hidden="1">#REF!</definedName>
    <definedName name="PSWInput_0_39" localSheetId="10" hidden="1">#REF!</definedName>
    <definedName name="PSWInput_0_39" hidden="1">#REF!</definedName>
    <definedName name="PSWInput_0_4" localSheetId="10" hidden="1">#REF!</definedName>
    <definedName name="PSWInput_0_4" hidden="1">#REF!</definedName>
    <definedName name="PSWInput_0_40" localSheetId="10" hidden="1">#REF!</definedName>
    <definedName name="PSWInput_0_40" hidden="1">#REF!</definedName>
    <definedName name="PSWInput_0_41" localSheetId="10" hidden="1">#REF!</definedName>
    <definedName name="PSWInput_0_41" hidden="1">#REF!</definedName>
    <definedName name="PSWInput_0_42" localSheetId="10" hidden="1">#REF!</definedName>
    <definedName name="PSWInput_0_42" hidden="1">#REF!</definedName>
    <definedName name="PSWInput_0_43" localSheetId="10" hidden="1">#REF!</definedName>
    <definedName name="PSWInput_0_43" hidden="1">#REF!</definedName>
    <definedName name="PSWInput_0_44" localSheetId="10" hidden="1">#REF!</definedName>
    <definedName name="PSWInput_0_44" hidden="1">#REF!</definedName>
    <definedName name="PSWInput_0_45" localSheetId="10" hidden="1">#REF!</definedName>
    <definedName name="PSWInput_0_45" hidden="1">#REF!</definedName>
    <definedName name="PSWInput_0_46" localSheetId="10" hidden="1">#REF!</definedName>
    <definedName name="PSWInput_0_46" hidden="1">#REF!</definedName>
    <definedName name="PSWInput_0_47" localSheetId="10" hidden="1">#REF!</definedName>
    <definedName name="PSWInput_0_47" hidden="1">#REF!</definedName>
    <definedName name="PSWInput_0_48" localSheetId="10" hidden="1">#REF!</definedName>
    <definedName name="PSWInput_0_48" hidden="1">#REF!</definedName>
    <definedName name="PSWInput_0_49" localSheetId="10" hidden="1">#REF!</definedName>
    <definedName name="PSWInput_0_49" hidden="1">#REF!</definedName>
    <definedName name="PSWInput_0_5" localSheetId="10" hidden="1">#REF!</definedName>
    <definedName name="PSWInput_0_5" hidden="1">#REF!</definedName>
    <definedName name="PSWInput_0_50" localSheetId="10" hidden="1">#REF!</definedName>
    <definedName name="PSWInput_0_50" hidden="1">#REF!</definedName>
    <definedName name="PSWInput_0_51" localSheetId="10" hidden="1">#REF!</definedName>
    <definedName name="PSWInput_0_51" hidden="1">#REF!</definedName>
    <definedName name="PSWInput_0_52" localSheetId="10" hidden="1">#REF!</definedName>
    <definedName name="PSWInput_0_52" hidden="1">#REF!</definedName>
    <definedName name="PSWInput_0_53" localSheetId="10" hidden="1">#REF!</definedName>
    <definedName name="PSWInput_0_53" hidden="1">#REF!</definedName>
    <definedName name="PSWInput_0_54" localSheetId="10" hidden="1">#REF!</definedName>
    <definedName name="PSWInput_0_54" hidden="1">#REF!</definedName>
    <definedName name="PSWInput_0_55" localSheetId="10" hidden="1">#REF!</definedName>
    <definedName name="PSWInput_0_55" hidden="1">#REF!</definedName>
    <definedName name="PSWInput_0_56" localSheetId="10" hidden="1">#REF!</definedName>
    <definedName name="PSWInput_0_56" hidden="1">#REF!</definedName>
    <definedName name="PSWInput_0_57" localSheetId="10" hidden="1">#REF!</definedName>
    <definedName name="PSWInput_0_57" hidden="1">#REF!</definedName>
    <definedName name="PSWInput_0_58" localSheetId="10" hidden="1">#REF!</definedName>
    <definedName name="PSWInput_0_58" hidden="1">#REF!</definedName>
    <definedName name="PSWInput_0_59" localSheetId="10" hidden="1">#REF!</definedName>
    <definedName name="PSWInput_0_59" hidden="1">#REF!</definedName>
    <definedName name="PSWInput_0_6" localSheetId="10" hidden="1">#REF!</definedName>
    <definedName name="PSWInput_0_6" hidden="1">#REF!</definedName>
    <definedName name="PSWInput_0_7" localSheetId="10" hidden="1">#REF!</definedName>
    <definedName name="PSWInput_0_7" hidden="1">#REF!</definedName>
    <definedName name="PSWInput_0_8" localSheetId="10" hidden="1">#REF!</definedName>
    <definedName name="PSWInput_0_8" hidden="1">#REF!</definedName>
    <definedName name="PSWInput_0_9" localSheetId="10" hidden="1">#REF!</definedName>
    <definedName name="PSWInput_0_9" hidden="1">#REF!</definedName>
    <definedName name="PSWIsControlVisible_0_0" localSheetId="10" hidden="1">#REF!</definedName>
    <definedName name="PSWIsControlVisible_0_0" hidden="1">#REF!</definedName>
    <definedName name="PSWIsControlVisible_0_1" localSheetId="10" hidden="1">#REF!</definedName>
    <definedName name="PSWIsControlVisible_0_1" hidden="1">#REF!</definedName>
    <definedName name="PSWIsControlVisible_0_10" localSheetId="10" hidden="1">#REF!</definedName>
    <definedName name="PSWIsControlVisible_0_10" hidden="1">#REF!</definedName>
    <definedName name="PSWIsControlVisible_0_11" localSheetId="10" hidden="1">#REF!</definedName>
    <definedName name="PSWIsControlVisible_0_11" hidden="1">#REF!</definedName>
    <definedName name="PSWIsControlVisible_0_12" localSheetId="10" hidden="1">#REF!</definedName>
    <definedName name="PSWIsControlVisible_0_12" hidden="1">#REF!</definedName>
    <definedName name="PSWIsControlVisible_0_13" localSheetId="10" hidden="1">#REF!</definedName>
    <definedName name="PSWIsControlVisible_0_13" hidden="1">#REF!</definedName>
    <definedName name="PSWIsControlVisible_0_14" localSheetId="10" hidden="1">#REF!</definedName>
    <definedName name="PSWIsControlVisible_0_14" hidden="1">#REF!</definedName>
    <definedName name="PSWIsControlVisible_0_15" localSheetId="10" hidden="1">#REF!</definedName>
    <definedName name="PSWIsControlVisible_0_15" hidden="1">#REF!</definedName>
    <definedName name="PSWIsControlVisible_0_16" localSheetId="10" hidden="1">#REF!</definedName>
    <definedName name="PSWIsControlVisible_0_16" hidden="1">#REF!</definedName>
    <definedName name="PSWIsControlVisible_0_17" localSheetId="10" hidden="1">#REF!</definedName>
    <definedName name="PSWIsControlVisible_0_17" hidden="1">#REF!</definedName>
    <definedName name="PSWIsControlVisible_0_18" localSheetId="10" hidden="1">#REF!</definedName>
    <definedName name="PSWIsControlVisible_0_18" hidden="1">#REF!</definedName>
    <definedName name="PSWIsControlVisible_0_19" localSheetId="10" hidden="1">#REF!</definedName>
    <definedName name="PSWIsControlVisible_0_19" hidden="1">#REF!</definedName>
    <definedName name="PSWIsControlVisible_0_2" localSheetId="10" hidden="1">#REF!</definedName>
    <definedName name="PSWIsControlVisible_0_2" hidden="1">#REF!</definedName>
    <definedName name="PSWIsControlVisible_0_20" localSheetId="10" hidden="1">#REF!</definedName>
    <definedName name="PSWIsControlVisible_0_20" hidden="1">#REF!</definedName>
    <definedName name="PSWIsControlVisible_0_21" localSheetId="10" hidden="1">#REF!</definedName>
    <definedName name="PSWIsControlVisible_0_21" hidden="1">#REF!</definedName>
    <definedName name="PSWIsControlVisible_0_22" localSheetId="10" hidden="1">#REF!</definedName>
    <definedName name="PSWIsControlVisible_0_22" hidden="1">#REF!</definedName>
    <definedName name="PSWIsControlVisible_0_23" localSheetId="10" hidden="1">#REF!</definedName>
    <definedName name="PSWIsControlVisible_0_23" hidden="1">#REF!</definedName>
    <definedName name="PSWIsControlVisible_0_24" localSheetId="10" hidden="1">#REF!</definedName>
    <definedName name="PSWIsControlVisible_0_24" hidden="1">#REF!</definedName>
    <definedName name="PSWIsControlVisible_0_25" localSheetId="10" hidden="1">#REF!</definedName>
    <definedName name="PSWIsControlVisible_0_25" hidden="1">#REF!</definedName>
    <definedName name="PSWIsControlVisible_0_26" localSheetId="10" hidden="1">#REF!</definedName>
    <definedName name="PSWIsControlVisible_0_26" hidden="1">#REF!</definedName>
    <definedName name="PSWIsControlVisible_0_27" localSheetId="10" hidden="1">#REF!</definedName>
    <definedName name="PSWIsControlVisible_0_27" hidden="1">#REF!</definedName>
    <definedName name="PSWIsControlVisible_0_28" localSheetId="10" hidden="1">#REF!</definedName>
    <definedName name="PSWIsControlVisible_0_28" hidden="1">#REF!</definedName>
    <definedName name="PSWIsControlVisible_0_29" localSheetId="10" hidden="1">#REF!</definedName>
    <definedName name="PSWIsControlVisible_0_29" hidden="1">#REF!</definedName>
    <definedName name="PSWIsControlVisible_0_3" localSheetId="10" hidden="1">#REF!</definedName>
    <definedName name="PSWIsControlVisible_0_3" hidden="1">#REF!</definedName>
    <definedName name="PSWIsControlVisible_0_30" localSheetId="10" hidden="1">#REF!</definedName>
    <definedName name="PSWIsControlVisible_0_30" hidden="1">#REF!</definedName>
    <definedName name="PSWIsControlVisible_0_31" localSheetId="10" hidden="1">#REF!</definedName>
    <definedName name="PSWIsControlVisible_0_31" hidden="1">#REF!</definedName>
    <definedName name="PSWIsControlVisible_0_32" localSheetId="10" hidden="1">#REF!</definedName>
    <definedName name="PSWIsControlVisible_0_32" hidden="1">#REF!</definedName>
    <definedName name="PSWIsControlVisible_0_33" localSheetId="10" hidden="1">#REF!</definedName>
    <definedName name="PSWIsControlVisible_0_33" hidden="1">#REF!</definedName>
    <definedName name="PSWIsControlVisible_0_34" localSheetId="10" hidden="1">#REF!</definedName>
    <definedName name="PSWIsControlVisible_0_34" hidden="1">#REF!</definedName>
    <definedName name="PSWIsControlVisible_0_35" localSheetId="10" hidden="1">#REF!</definedName>
    <definedName name="PSWIsControlVisible_0_35" hidden="1">#REF!</definedName>
    <definedName name="PSWIsControlVisible_0_36" localSheetId="10" hidden="1">#REF!</definedName>
    <definedName name="PSWIsControlVisible_0_36" hidden="1">#REF!</definedName>
    <definedName name="PSWIsControlVisible_0_37" localSheetId="10" hidden="1">#REF!</definedName>
    <definedName name="PSWIsControlVisible_0_37" hidden="1">#REF!</definedName>
    <definedName name="PSWIsControlVisible_0_38" localSheetId="10" hidden="1">#REF!</definedName>
    <definedName name="PSWIsControlVisible_0_38" hidden="1">#REF!</definedName>
    <definedName name="PSWIsControlVisible_0_39" localSheetId="10" hidden="1">#REF!</definedName>
    <definedName name="PSWIsControlVisible_0_39" hidden="1">#REF!</definedName>
    <definedName name="PSWIsControlVisible_0_4" localSheetId="10" hidden="1">#REF!</definedName>
    <definedName name="PSWIsControlVisible_0_4" hidden="1">#REF!</definedName>
    <definedName name="PSWIsControlVisible_0_40" localSheetId="10" hidden="1">#REF!</definedName>
    <definedName name="PSWIsControlVisible_0_40" hidden="1">#REF!</definedName>
    <definedName name="PSWIsControlVisible_0_41" localSheetId="10" hidden="1">#REF!</definedName>
    <definedName name="PSWIsControlVisible_0_41" hidden="1">#REF!</definedName>
    <definedName name="PSWIsControlVisible_0_42" localSheetId="10" hidden="1">#REF!</definedName>
    <definedName name="PSWIsControlVisible_0_42" hidden="1">#REF!</definedName>
    <definedName name="PSWIsControlVisible_0_43" localSheetId="10" hidden="1">#REF!</definedName>
    <definedName name="PSWIsControlVisible_0_43" hidden="1">#REF!</definedName>
    <definedName name="PSWIsControlVisible_0_44" localSheetId="10" hidden="1">#REF!</definedName>
    <definedName name="PSWIsControlVisible_0_44" hidden="1">#REF!</definedName>
    <definedName name="PSWIsControlVisible_0_45" localSheetId="10" hidden="1">#REF!</definedName>
    <definedName name="PSWIsControlVisible_0_45" hidden="1">#REF!</definedName>
    <definedName name="PSWIsControlVisible_0_46" localSheetId="10" hidden="1">#REF!</definedName>
    <definedName name="PSWIsControlVisible_0_46" hidden="1">#REF!</definedName>
    <definedName name="PSWIsControlVisible_0_47" localSheetId="10" hidden="1">#REF!</definedName>
    <definedName name="PSWIsControlVisible_0_47" hidden="1">#REF!</definedName>
    <definedName name="PSWIsControlVisible_0_48" localSheetId="10" hidden="1">#REF!</definedName>
    <definedName name="PSWIsControlVisible_0_48" hidden="1">#REF!</definedName>
    <definedName name="PSWIsControlVisible_0_49" localSheetId="10" hidden="1">#REF!</definedName>
    <definedName name="PSWIsControlVisible_0_49" hidden="1">#REF!</definedName>
    <definedName name="PSWIsControlVisible_0_5" localSheetId="10" hidden="1">#REF!</definedName>
    <definedName name="PSWIsControlVisible_0_5" hidden="1">#REF!</definedName>
    <definedName name="PSWIsControlVisible_0_50" localSheetId="10" hidden="1">#REF!</definedName>
    <definedName name="PSWIsControlVisible_0_50" hidden="1">#REF!</definedName>
    <definedName name="PSWIsControlVisible_0_51" localSheetId="10" hidden="1">#REF!</definedName>
    <definedName name="PSWIsControlVisible_0_51" hidden="1">#REF!</definedName>
    <definedName name="PSWIsControlVisible_0_52" localSheetId="10" hidden="1">#REF!</definedName>
    <definedName name="PSWIsControlVisible_0_52" hidden="1">#REF!</definedName>
    <definedName name="PSWIsControlVisible_0_53" localSheetId="10" hidden="1">#REF!</definedName>
    <definedName name="PSWIsControlVisible_0_53" hidden="1">#REF!</definedName>
    <definedName name="PSWIsControlVisible_0_54" localSheetId="10" hidden="1">#REF!</definedName>
    <definedName name="PSWIsControlVisible_0_54" hidden="1">#REF!</definedName>
    <definedName name="PSWIsControlVisible_0_55" localSheetId="10" hidden="1">#REF!</definedName>
    <definedName name="PSWIsControlVisible_0_55" hidden="1">#REF!</definedName>
    <definedName name="PSWIsControlVisible_0_56" localSheetId="10" hidden="1">#REF!</definedName>
    <definedName name="PSWIsControlVisible_0_56" hidden="1">#REF!</definedName>
    <definedName name="PSWIsControlVisible_0_57" localSheetId="10" hidden="1">#REF!</definedName>
    <definedName name="PSWIsControlVisible_0_57" hidden="1">#REF!</definedName>
    <definedName name="PSWIsControlVisible_0_58" localSheetId="10" hidden="1">#REF!</definedName>
    <definedName name="PSWIsControlVisible_0_58" hidden="1">#REF!</definedName>
    <definedName name="PSWIsControlVisible_0_59" localSheetId="10" hidden="1">#REF!</definedName>
    <definedName name="PSWIsControlVisible_0_59" hidden="1">#REF!</definedName>
    <definedName name="PSWIsControlVisible_0_6" localSheetId="10" hidden="1">#REF!</definedName>
    <definedName name="PSWIsControlVisible_0_6" hidden="1">#REF!</definedName>
    <definedName name="PSWIsControlVisible_0_7" localSheetId="10" hidden="1">#REF!</definedName>
    <definedName name="PSWIsControlVisible_0_7" hidden="1">#REF!</definedName>
    <definedName name="PSWIsControlVisible_0_8" localSheetId="10" hidden="1">#REF!</definedName>
    <definedName name="PSWIsControlVisible_0_8" hidden="1">#REF!</definedName>
    <definedName name="PSWIsControlVisible_0_9" localSheetId="10" hidden="1">#REF!</definedName>
    <definedName name="PSWIsControlVisible_0_9" hidden="1">#REF!</definedName>
    <definedName name="PSWIsPageVisible_1" localSheetId="10" hidden="1">#REF!</definedName>
    <definedName name="PSWIsPageVisible_1" hidden="1">#REF!</definedName>
    <definedName name="PSWList_0_20" localSheetId="10" hidden="1">#REF!</definedName>
    <definedName name="PSWList_0_20" hidden="1">#REF!</definedName>
    <definedName name="PSWList_0_21" localSheetId="10" hidden="1">#REF!</definedName>
    <definedName name="PSWList_0_21" hidden="1">#REF!</definedName>
    <definedName name="PSWList_0_22" localSheetId="10" hidden="1">#REF!</definedName>
    <definedName name="PSWList_0_22" hidden="1">#REF!</definedName>
    <definedName name="PSWList_0_23" localSheetId="10" hidden="1">#REF!</definedName>
    <definedName name="PSWList_0_23" hidden="1">#REF!</definedName>
    <definedName name="PSWList_0_24" localSheetId="10" hidden="1">#REF!</definedName>
    <definedName name="PSWList_0_24" hidden="1">#REF!</definedName>
    <definedName name="PSWList_0_25" localSheetId="10" hidden="1">#REF!</definedName>
    <definedName name="PSWList_0_25" hidden="1">#REF!</definedName>
    <definedName name="PSWList_0_26" localSheetId="10" hidden="1">#REF!</definedName>
    <definedName name="PSWList_0_26" hidden="1">#REF!</definedName>
    <definedName name="PSWList_0_27" localSheetId="10" hidden="1">#REF!</definedName>
    <definedName name="PSWList_0_27" hidden="1">#REF!</definedName>
    <definedName name="PSWList_0_28" localSheetId="10" hidden="1">#REF!</definedName>
    <definedName name="PSWList_0_28" hidden="1">#REF!</definedName>
    <definedName name="PSWList_0_29" localSheetId="10" hidden="1">#REF!</definedName>
    <definedName name="PSWList_0_29" hidden="1">#REF!</definedName>
    <definedName name="PSWList_0_30" localSheetId="10" hidden="1">#REF!</definedName>
    <definedName name="PSWList_0_30" hidden="1">#REF!</definedName>
    <definedName name="PSWList_0_31" localSheetId="10" hidden="1">#REF!</definedName>
    <definedName name="PSWList_0_31" hidden="1">#REF!</definedName>
    <definedName name="PSWList_0_32" localSheetId="10" hidden="1">#REF!</definedName>
    <definedName name="PSWList_0_32" hidden="1">#REF!</definedName>
    <definedName name="PSWList_0_33" localSheetId="10" hidden="1">#REF!</definedName>
    <definedName name="PSWList_0_33" hidden="1">#REF!</definedName>
    <definedName name="PSWList_0_34" localSheetId="10" hidden="1">#REF!</definedName>
    <definedName name="PSWList_0_34" hidden="1">#REF!</definedName>
    <definedName name="PSWList_0_35" localSheetId="10" hidden="1">#REF!</definedName>
    <definedName name="PSWList_0_35" hidden="1">#REF!</definedName>
    <definedName name="PSWList_0_36" localSheetId="10" hidden="1">#REF!</definedName>
    <definedName name="PSWList_0_36" hidden="1">#REF!</definedName>
    <definedName name="PSWList_0_37" localSheetId="10" hidden="1">#REF!</definedName>
    <definedName name="PSWList_0_37" hidden="1">#REF!</definedName>
    <definedName name="PSWList_0_38" localSheetId="10" hidden="1">#REF!</definedName>
    <definedName name="PSWList_0_38" hidden="1">#REF!</definedName>
    <definedName name="PSWList_0_39" localSheetId="10" hidden="1">#REF!</definedName>
    <definedName name="PSWList_0_39" hidden="1">#REF!</definedName>
    <definedName name="PSWSavingCell_0" localSheetId="10" hidden="1">#REF!</definedName>
    <definedName name="PSWSavingCell_0" hidden="1">#REF!</definedName>
    <definedName name="PSWSavingCell_10" localSheetId="10" hidden="1">#REF!</definedName>
    <definedName name="PSWSavingCell_10" hidden="1">#REF!</definedName>
    <definedName name="PSWSavingCell_11" localSheetId="10" hidden="1">#REF!</definedName>
    <definedName name="PSWSavingCell_11" hidden="1">#REF!</definedName>
    <definedName name="PSWSavingCell_12" localSheetId="10" hidden="1">#REF!</definedName>
    <definedName name="PSWSavingCell_12" hidden="1">#REF!</definedName>
    <definedName name="PSWSavingCell_13" localSheetId="10" hidden="1">#REF!</definedName>
    <definedName name="PSWSavingCell_13" hidden="1">#REF!</definedName>
    <definedName name="PSWSavingCell_14" localSheetId="10" hidden="1">#REF!</definedName>
    <definedName name="PSWSavingCell_14" hidden="1">#REF!</definedName>
    <definedName name="PSWSavingCell_15" localSheetId="10" hidden="1">#REF!</definedName>
    <definedName name="PSWSavingCell_15" hidden="1">#REF!</definedName>
    <definedName name="PSWSavingCell_16" localSheetId="10" hidden="1">#REF!</definedName>
    <definedName name="PSWSavingCell_16" hidden="1">#REF!</definedName>
    <definedName name="PSWSavingCell_17" localSheetId="10" hidden="1">#REF!</definedName>
    <definedName name="PSWSavingCell_17" hidden="1">#REF!</definedName>
    <definedName name="PSWSavingCell_18" localSheetId="10" hidden="1">#REF!</definedName>
    <definedName name="PSWSavingCell_18" hidden="1">#REF!</definedName>
    <definedName name="PSWSavingCell_19" localSheetId="10" hidden="1">#REF!</definedName>
    <definedName name="PSWSavingCell_19" hidden="1">#REF!</definedName>
    <definedName name="PSWSavingCell_20" localSheetId="10" hidden="1">#REF!</definedName>
    <definedName name="PSWSavingCell_20" hidden="1">#REF!</definedName>
    <definedName name="PSWSavingCell_21" localSheetId="10" hidden="1">#REF!</definedName>
    <definedName name="PSWSavingCell_21" hidden="1">#REF!</definedName>
    <definedName name="PSWSavingCell_22" localSheetId="10" hidden="1">#REF!</definedName>
    <definedName name="PSWSavingCell_22" hidden="1">#REF!</definedName>
    <definedName name="PSWSavingCell_23" localSheetId="10" hidden="1">#REF!</definedName>
    <definedName name="PSWSavingCell_23" hidden="1">#REF!</definedName>
    <definedName name="PSWSavingCell_24" localSheetId="10" hidden="1">#REF!</definedName>
    <definedName name="PSWSavingCell_24" hidden="1">#REF!</definedName>
    <definedName name="PSWSavingCell_25" localSheetId="10" hidden="1">#REF!</definedName>
    <definedName name="PSWSavingCell_25" hidden="1">#REF!</definedName>
    <definedName name="PSWSavingCell_26" localSheetId="10" hidden="1">#REF!</definedName>
    <definedName name="PSWSavingCell_26" hidden="1">#REF!</definedName>
    <definedName name="PSWSavingCell_27" localSheetId="10" hidden="1">#REF!</definedName>
    <definedName name="PSWSavingCell_27" hidden="1">#REF!</definedName>
    <definedName name="PSWSavingCell_28" localSheetId="10" hidden="1">#REF!</definedName>
    <definedName name="PSWSavingCell_28" hidden="1">#REF!</definedName>
    <definedName name="PSWSavingCell_29" localSheetId="10" hidden="1">#REF!</definedName>
    <definedName name="PSWSavingCell_29" hidden="1">#REF!</definedName>
    <definedName name="PSWSavingCell_3" localSheetId="10" hidden="1">#REF!</definedName>
    <definedName name="PSWSavingCell_3" hidden="1">#REF!</definedName>
    <definedName name="PSWSavingCell_30" localSheetId="10" hidden="1">#REF!</definedName>
    <definedName name="PSWSavingCell_30" hidden="1">#REF!</definedName>
    <definedName name="PSWSavingCell_31" localSheetId="10" hidden="1">#REF!</definedName>
    <definedName name="PSWSavingCell_31" hidden="1">#REF!</definedName>
    <definedName name="PSWSavingCell_32" localSheetId="10" hidden="1">#REF!</definedName>
    <definedName name="PSWSavingCell_32" hidden="1">#REF!</definedName>
    <definedName name="PSWSavingCell_33" localSheetId="10" hidden="1">#REF!</definedName>
    <definedName name="PSWSavingCell_33" hidden="1">#REF!</definedName>
    <definedName name="PSWSavingCell_34" localSheetId="10" hidden="1">#REF!</definedName>
    <definedName name="PSWSavingCell_34" hidden="1">#REF!</definedName>
    <definedName name="PSWSavingCell_35" localSheetId="10" hidden="1">#REF!</definedName>
    <definedName name="PSWSavingCell_35" hidden="1">#REF!</definedName>
    <definedName name="PSWSavingCell_36" localSheetId="10" hidden="1">#REF!</definedName>
    <definedName name="PSWSavingCell_36" hidden="1">#REF!</definedName>
    <definedName name="PSWSavingCell_37" localSheetId="10" hidden="1">#REF!</definedName>
    <definedName name="PSWSavingCell_37" hidden="1">#REF!</definedName>
    <definedName name="PSWSavingCell_38" localSheetId="10" hidden="1">#REF!</definedName>
    <definedName name="PSWSavingCell_38" hidden="1">#REF!</definedName>
    <definedName name="PSWSavingCell_39" localSheetId="10" hidden="1">#REF!</definedName>
    <definedName name="PSWSavingCell_39" hidden="1">#REF!</definedName>
    <definedName name="PSWSavingCell_4" localSheetId="10" hidden="1">#REF!</definedName>
    <definedName name="PSWSavingCell_4" hidden="1">#REF!</definedName>
    <definedName name="PSWSavingCell_40" localSheetId="10" hidden="1">#REF!</definedName>
    <definedName name="PSWSavingCell_40" hidden="1">#REF!</definedName>
    <definedName name="PSWSavingCell_41" localSheetId="10" hidden="1">#REF!</definedName>
    <definedName name="PSWSavingCell_41" hidden="1">#REF!</definedName>
    <definedName name="PSWSavingCell_42" localSheetId="10" hidden="1">#REF!</definedName>
    <definedName name="PSWSavingCell_42" hidden="1">#REF!</definedName>
    <definedName name="PSWSavingCell_43" localSheetId="10" hidden="1">#REF!</definedName>
    <definedName name="PSWSavingCell_43" hidden="1">#REF!</definedName>
    <definedName name="PSWSavingCell_44" localSheetId="10" hidden="1">#REF!</definedName>
    <definedName name="PSWSavingCell_44" hidden="1">#REF!</definedName>
    <definedName name="PSWSavingCell_45" localSheetId="10" hidden="1">#REF!</definedName>
    <definedName name="PSWSavingCell_45" hidden="1">#REF!</definedName>
    <definedName name="PSWSavingCell_46" localSheetId="10" hidden="1">#REF!</definedName>
    <definedName name="PSWSavingCell_46" hidden="1">#REF!</definedName>
    <definedName name="PSWSavingCell_47" localSheetId="10" hidden="1">#REF!</definedName>
    <definedName name="PSWSavingCell_47" hidden="1">#REF!</definedName>
    <definedName name="PSWSavingCell_48" localSheetId="10" hidden="1">#REF!</definedName>
    <definedName name="PSWSavingCell_48" hidden="1">#REF!</definedName>
    <definedName name="PSWSavingCell_49" localSheetId="10" hidden="1">#REF!</definedName>
    <definedName name="PSWSavingCell_49" hidden="1">#REF!</definedName>
    <definedName name="PSWSavingCell_5" localSheetId="10" hidden="1">#REF!</definedName>
    <definedName name="PSWSavingCell_5" hidden="1">#REF!</definedName>
    <definedName name="PSWSavingCell_50" localSheetId="10" hidden="1">#REF!</definedName>
    <definedName name="PSWSavingCell_50" hidden="1">#REF!</definedName>
    <definedName name="PSWSavingCell_51" localSheetId="10" hidden="1">#REF!</definedName>
    <definedName name="PSWSavingCell_51" hidden="1">#REF!</definedName>
    <definedName name="PSWSavingCell_52" localSheetId="10" hidden="1">#REF!</definedName>
    <definedName name="PSWSavingCell_52" hidden="1">#REF!</definedName>
    <definedName name="PSWSavingCell_53" localSheetId="10" hidden="1">#REF!</definedName>
    <definedName name="PSWSavingCell_53" hidden="1">#REF!</definedName>
    <definedName name="PSWSavingCell_54" localSheetId="10" hidden="1">#REF!</definedName>
    <definedName name="PSWSavingCell_54" hidden="1">#REF!</definedName>
    <definedName name="PSWSavingCell_55" localSheetId="10" hidden="1">#REF!</definedName>
    <definedName name="PSWSavingCell_55" hidden="1">#REF!</definedName>
    <definedName name="PSWSavingCell_56" localSheetId="10" hidden="1">#REF!</definedName>
    <definedName name="PSWSavingCell_56" hidden="1">#REF!</definedName>
    <definedName name="PSWSavingCell_57" localSheetId="10" hidden="1">#REF!</definedName>
    <definedName name="PSWSavingCell_57" hidden="1">#REF!</definedName>
    <definedName name="PSWSavingCell_58" localSheetId="10" hidden="1">#REF!</definedName>
    <definedName name="PSWSavingCell_58" hidden="1">#REF!</definedName>
    <definedName name="PSWSavingCell_59" localSheetId="10" hidden="1">#REF!</definedName>
    <definedName name="PSWSavingCell_59" hidden="1">#REF!</definedName>
    <definedName name="PSWSavingCell_6" localSheetId="10" hidden="1">#REF!</definedName>
    <definedName name="PSWSavingCell_6" hidden="1">#REF!</definedName>
    <definedName name="PSWSavingCell_60" localSheetId="10" hidden="1">#REF!</definedName>
    <definedName name="PSWSavingCell_60" hidden="1">#REF!</definedName>
    <definedName name="PSWSavingCell_7" localSheetId="10" hidden="1">#REF!</definedName>
    <definedName name="PSWSavingCell_7" hidden="1">#REF!</definedName>
    <definedName name="PSWSavingCell_8" localSheetId="10" hidden="1">#REF!</definedName>
    <definedName name="PSWSavingCell_8" hidden="1">#REF!</definedName>
    <definedName name="PSWSavingCell_9" localSheetId="10" hidden="1">#REF!</definedName>
    <definedName name="PSWSavingCell_9" hidden="1">#REF!</definedName>
    <definedName name="PSWSeries_0_0_Labels" localSheetId="10" hidden="1">#REF!</definedName>
    <definedName name="PSWSeries_0_0_Labels" hidden="1">#REF!</definedName>
    <definedName name="PSWSeries_0_0_Values" localSheetId="10" hidden="1">#REF!</definedName>
    <definedName name="PSWSeries_0_0_Values" hidden="1">#REF!</definedName>
    <definedName name="PSWSeries_0_1_Labels" localSheetId="10" hidden="1">#REF!</definedName>
    <definedName name="PSWSeries_0_1_Labels" hidden="1">#REF!</definedName>
    <definedName name="PSWSeries_0_1_Values" localSheetId="10" hidden="1">#REF!</definedName>
    <definedName name="PSWSeries_0_1_Values" hidden="1">#REF!</definedName>
    <definedName name="PSWSeries_0_2_Values" localSheetId="10" hidden="1">#REF!</definedName>
    <definedName name="PSWSeries_0_2_Values" hidden="1">#REF!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SB" localSheetId="1" hidden="1">{"'Highlights'!$A$1:$M$123"}</definedName>
    <definedName name="PTSB" localSheetId="0" hidden="1">{"'Highlights'!$A$1:$M$123"}</definedName>
    <definedName name="PTSB" hidden="1">{"'Highlights'!$A$1:$M$123"}</definedName>
    <definedName name="PTT" localSheetId="1" hidden="1">{#N/A,#N/A,TRUE,"INGENIERIA";#N/A,#N/A,TRUE,"COMPRAS";#N/A,#N/A,TRUE,"DIRECCION";#N/A,#N/A,TRUE,"RESUMEN"}</definedName>
    <definedName name="PTT" localSheetId="0" hidden="1">{#N/A,#N/A,TRUE,"INGENIERIA";#N/A,#N/A,TRUE,"COMPRAS";#N/A,#N/A,TRUE,"DIRECCION";#N/A,#N/A,TRUE,"RESUMEN"}</definedName>
    <definedName name="PTT" hidden="1">{#N/A,#N/A,TRUE,"INGENIERIA";#N/A,#N/A,TRUE,"COMPRAS";#N/A,#N/A,TRUE,"DIRECCION";#N/A,#N/A,TRUE,"RESUMEN"}</definedName>
    <definedName name="PTTTT" localSheetId="10" hidden="1">{#N/A,#N/A,TRUE,"INGENIERIA";#N/A,#N/A,TRUE,"COMPRAS";#N/A,#N/A,TRUE,"DIRECCION";#N/A,#N/A,TRUE,"RESUMEN"}</definedName>
    <definedName name="PTTTT" localSheetId="1" hidden="1">{#N/A,#N/A,TRUE,"INGENIERIA";#N/A,#N/A,TRUE,"COMPRAS";#N/A,#N/A,TRUE,"DIRECCION";#N/A,#N/A,TRUE,"RESUMEN"}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" localSheetId="10" hidden="1">{#N/A,#N/A,FALSE,"PERSONAL"}</definedName>
    <definedName name="pue" localSheetId="1" hidden="1">{#N/A,#N/A,FALSE,"PERSONAL"}</definedName>
    <definedName name="pue" localSheetId="0" hidden="1">{#N/A,#N/A,FALSE,"PERSONAL"}</definedName>
    <definedName name="pue" hidden="1">{#N/A,#N/A,FALSE,"PERSONAL"}</definedName>
    <definedName name="PUL" localSheetId="10" hidden="1">{#N/A,#N/A,FALSE,"Hoja1";#N/A,#N/A,FALSE,"Hoja2"}</definedName>
    <definedName name="PUL" localSheetId="1" hidden="1">{#N/A,#N/A,FALSE,"Hoja1";#N/A,#N/A,FALSE,"Hoja2"}</definedName>
    <definedName name="PUL" localSheetId="0" hidden="1">{#N/A,#N/A,FALSE,"Hoja1";#N/A,#N/A,FALSE,"Hoja2"}</definedName>
    <definedName name="PUL" hidden="1">{#N/A,#N/A,FALSE,"Hoja1";#N/A,#N/A,FALSE,"Hoja2"}</definedName>
    <definedName name="pwoefù" localSheetId="1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0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localSheetId="10" hidden="1">{#N/A,#N/A,FALSE,"Costos Productos 6A";#N/A,#N/A,FALSE,"Costo Unitario Total H-94-12"}</definedName>
    <definedName name="pyg" localSheetId="1" hidden="1">{#N/A,#N/A,FALSE,"Costos Productos 6A";#N/A,#N/A,FALSE,"Costo Unitario Total H-94-12"}</definedName>
    <definedName name="pyg" localSheetId="0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1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10" hidden="1">{#N/A,#N/A,FALSE,"Costos Productos 6A";#N/A,#N/A,FALSE,"Costo Unitario Total H-94-12"}</definedName>
    <definedName name="PYGCON" localSheetId="1" hidden="1">{#N/A,#N/A,FALSE,"Costos Productos 6A";#N/A,#N/A,FALSE,"Costo Unitario Total H-94-12"}</definedName>
    <definedName name="PYGCON" localSheetId="0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10" hidden="1">{#N/A,#N/A,FALSE,"Costos Productos 6A";#N/A,#N/A,FALSE,"Costo Unitario Total H-94-12"}</definedName>
    <definedName name="PYGCONTABLE" localSheetId="1" hidden="1">{#N/A,#N/A,FALSE,"Costos Productos 6A";#N/A,#N/A,FALSE,"Costo Unitario Total H-94-12"}</definedName>
    <definedName name="PYGCONTABLE" localSheetId="0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10" hidden="1">{#N/A,#N/A,FALSE,"Costos Productos 6A";#N/A,#N/A,FALSE,"Costo Unitario Total H-94-12"}</definedName>
    <definedName name="PYGCONTBLCRUDO" localSheetId="1" hidden="1">{#N/A,#N/A,FALSE,"Costos Productos 6A";#N/A,#N/A,FALSE,"Costo Unitario Total H-94-12"}</definedName>
    <definedName name="PYGCONTBLCRUDO" localSheetId="0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10" hidden="1">{#N/A,#N/A,FALSE,"Costos Productos 6A";#N/A,#N/A,FALSE,"Costo Unitario Total H-94-12"}</definedName>
    <definedName name="PYGCONTPTO" localSheetId="1" hidden="1">{#N/A,#N/A,FALSE,"Costos Productos 6A";#N/A,#N/A,FALSE,"Costo Unitario Total H-94-12"}</definedName>
    <definedName name="PYGCONTPTO" localSheetId="0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10" hidden="1">{#N/A,#N/A,FALSE,"Costos Productos 6A";#N/A,#N/A,FALSE,"Costo Unitario Total H-94-12"}</definedName>
    <definedName name="PYGGRCAJ" localSheetId="1" hidden="1">{#N/A,#N/A,FALSE,"Costos Productos 6A";#N/A,#N/A,FALSE,"Costo Unitario Total H-94-12"}</definedName>
    <definedName name="PYGGRCAJ" localSheetId="0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10" hidden="1">{#N/A,#N/A,FALSE,"Costos Productos 6A";#N/A,#N/A,FALSE,"Costo Unitario Total H-94-12"}</definedName>
    <definedName name="PYGHGRC" localSheetId="1" hidden="1">{#N/A,#N/A,FALSE,"Costos Productos 6A";#N/A,#N/A,FALSE,"Costo Unitario Total H-94-12"}</definedName>
    <definedName name="PYGHGRC" localSheetId="0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1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1q1q" localSheetId="1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2Fcst" localSheetId="1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 localSheetId="0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aedtguj" localSheetId="1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c_h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dcd" localSheetId="1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qqqqqqq" localSheetId="10" hidden="1">{#N/A,#N/A,FALSE,"PERSONAL"}</definedName>
    <definedName name="qqqqqqqq" localSheetId="1" hidden="1">{#N/A,#N/A,FALSE,"PERSONAL"}</definedName>
    <definedName name="qqqqqqqq" localSheetId="0" hidden="1">{#N/A,#N/A,FALSE,"PERSONAL"}</definedName>
    <definedName name="qqqqqqqq" hidden="1">{#N/A,#N/A,FALSE,"PERSONAL"}</definedName>
    <definedName name="qqqqqw" localSheetId="1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R" localSheetId="10" hidden="1">{#N/A,#N/A,FALSE,"Costos Productos 6A";#N/A,#N/A,FALSE,"Costo Unitario Total H-94-12"}</definedName>
    <definedName name="QR" localSheetId="1" hidden="1">{#N/A,#N/A,FALSE,"Costos Productos 6A";#N/A,#N/A,FALSE,"Costo Unitario Total H-94-12"}</definedName>
    <definedName name="QR" localSheetId="0" hidden="1">{#N/A,#N/A,FALSE,"Costos Productos 6A";#N/A,#N/A,FALSE,"Costo Unitario Total H-94-12"}</definedName>
    <definedName name="QR" hidden="1">{#N/A,#N/A,FALSE,"Costos Productos 6A";#N/A,#N/A,FALSE,"Costo Unitario Total H-94-12"}</definedName>
    <definedName name="QT" localSheetId="10" hidden="1">{#N/A,#N/A,FALSE,"Costos Productos 6A";#N/A,#N/A,FALSE,"Costo Unitario Total H-94-12"}</definedName>
    <definedName name="QT" localSheetId="1" hidden="1">{#N/A,#N/A,FALSE,"Costos Productos 6A";#N/A,#N/A,FALSE,"Costo Unitario Total H-94-12"}</definedName>
    <definedName name="QT" localSheetId="0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localSheetId="10" hidden="1">{#N/A,#N/A,FALSE,"Costos Productos 6A";#N/A,#N/A,FALSE,"Costo Unitario Total H-94-12"}</definedName>
    <definedName name="QU" localSheetId="1" hidden="1">{#N/A,#N/A,FALSE,"Costos Productos 6A";#N/A,#N/A,FALSE,"Costo Unitario Total H-94-12"}</definedName>
    <definedName name="QU" localSheetId="0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localSheetId="10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0" hidden="1">#REF!</definedName>
    <definedName name="QWE" hidden="1">#REF!</definedName>
    <definedName name="qweqe" localSheetId="1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10" hidden="1">{#N/A,#N/A,TRUE,"1842CWN0"}</definedName>
    <definedName name="qwewertet" localSheetId="1" hidden="1">{#N/A,#N/A,TRUE,"1842CWN0"}</definedName>
    <definedName name="qwewertet" localSheetId="0" hidden="1">{#N/A,#N/A,TRUE,"1842CWN0"}</definedName>
    <definedName name="qwewertet" hidden="1">{#N/A,#N/A,TRUE,"1842CWN0"}</definedName>
    <definedName name="qwqwqwj" localSheetId="1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CashFlow" localSheetId="10" hidden="1">#REF!</definedName>
    <definedName name="r.CashFlow" hidden="1">#REF!</definedName>
    <definedName name="r.Leverage" localSheetId="10" hidden="1">#REF!</definedName>
    <definedName name="r.Leverage" hidden="1">#REF!</definedName>
    <definedName name="r.Liquidity" localSheetId="10" hidden="1">#REF!</definedName>
    <definedName name="r.Liquidity" hidden="1">#REF!</definedName>
    <definedName name="r.Market" localSheetId="10" hidden="1">#REF!</definedName>
    <definedName name="r.Market" hidden="1">#REF!</definedName>
    <definedName name="r.Profitability" localSheetId="10" hidden="1">#REF!</definedName>
    <definedName name="r.Profitability" hidden="1">#REF!</definedName>
    <definedName name="r.Summary" localSheetId="10" hidden="1">#REF!</definedName>
    <definedName name="r.Summary" hidden="1">#REF!</definedName>
    <definedName name="ＲＡＲＯＡ" localSheetId="1" hidden="1">{"'下期集計（10.27迄・速報値）'!$Q$16"}</definedName>
    <definedName name="ＲＡＲＯＡ" localSheetId="0" hidden="1">{"'下期集計（10.27迄・速報値）'!$Q$16"}</definedName>
    <definedName name="ＲＡＲＯＡ" hidden="1">{"'下期集計（10.27迄・速報値）'!$Q$16"}</definedName>
    <definedName name="RE" localSheetId="10" hidden="1">{#N/A,#N/A,FALSE,"Hoja1";#N/A,#N/A,FALSE,"Hoja2"}</definedName>
    <definedName name="rege" localSheetId="1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erere" localSheetId="10" hidden="1">{#N/A,#N/A,FALSE,"PERSONAL"}</definedName>
    <definedName name="rerererere" localSheetId="1" hidden="1">{#N/A,#N/A,FALSE,"PERSONAL"}</definedName>
    <definedName name="rerererere" localSheetId="0" hidden="1">{#N/A,#N/A,FALSE,"PERSONAL"}</definedName>
    <definedName name="rerererere" hidden="1">{#N/A,#N/A,FALSE,"PERSONAL"}</definedName>
    <definedName name="rererw" localSheetId="1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osplantas" localSheetId="10" hidden="1">{"EVA",#N/A,FALSE,"SMT2";#N/A,#N/A,FALSE,"Summary";#N/A,#N/A,FALSE,"Graphs";#N/A,#N/A,FALSE,"4 Panel"}</definedName>
    <definedName name="retosplantas" localSheetId="1" hidden="1">{"EVA",#N/A,FALSE,"SMT2";#N/A,#N/A,FALSE,"Summary";#N/A,#N/A,FALSE,"Graphs";#N/A,#N/A,FALSE,"4 Panel"}</definedName>
    <definedName name="retosplantas" localSheetId="0" hidden="1">{"EVA",#N/A,FALSE,"SMT2";#N/A,#N/A,FALSE,"Summary";#N/A,#N/A,FALSE,"Graphs";#N/A,#N/A,FALSE,"4 Panel"}</definedName>
    <definedName name="retosplantas" hidden="1">{"EVA",#N/A,FALSE,"SMT2";#N/A,#N/A,FALSE,"Summary";#N/A,#N/A,FALSE,"Graphs";#N/A,#N/A,FALSE,"4 Panel"}</definedName>
    <definedName name="RETTRE" localSheetId="1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g" localSheetId="1" hidden="1">{#N/A,#N/A,TRUE,"A"}</definedName>
    <definedName name="rfg" localSheetId="0" hidden="1">{#N/A,#N/A,TRUE,"A"}</definedName>
    <definedName name="rfg" hidden="1">{#N/A,#N/A,TRUE,"A"}</definedName>
    <definedName name="rfhnhjyu" localSheetId="1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ows2Unhide" localSheetId="10" hidden="1">#REF!</definedName>
    <definedName name="Rows2Unhide" hidden="1">#REF!</definedName>
    <definedName name="rpld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r" localSheetId="1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g" localSheetId="1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localSheetId="10" hidden="1">#REF!,#REF!</definedName>
    <definedName name="Rwvu.oil." hidden="1">#REF!,#REF!</definedName>
    <definedName name="Rwvu.oilgasagua." localSheetId="10" hidden="1">#REF!,#REF!</definedName>
    <definedName name="Rwvu.oilgasagua." hidden="1">#REF!,#REF!</definedName>
    <definedName name="ry" localSheetId="10" hidden="1">{"via1",#N/A,TRUE,"general";"via2",#N/A,TRUE,"general";"via3",#N/A,TRUE,"general"}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0" hidden="1">{"TAB1",#N/A,TRUE,"GENERAL";"TAB2",#N/A,TRUE,"GENERAL";"TAB3",#N/A,TRUE,"GENERAL";"TAB4",#N/A,TRUE,"GENERAL";"TAB5",#N/A,TRUE,"GENERAL"}</definedName>
    <definedName name="saa" localSheetId="1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DOSITR306058" localSheetId="1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SALDOSITR306058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SALDOSITR306058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SALDOSITR306058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SAPBEXdnldView" hidden="1">"4X7PHJJ3EF70UJ33CI6YVQIOV"</definedName>
    <definedName name="SAPBEXhrIndnt" hidden="1">"Wide"</definedName>
    <definedName name="SAPBEXrevision" hidden="1">1</definedName>
    <definedName name="SAPBEXsysID" hidden="1">"BWP"</definedName>
    <definedName name="SAPBEXwbID" hidden="1">"44IZL6C86M7EN67Z2TRYE7TL6"</definedName>
    <definedName name="SAPsysID" hidden="1">"708C5W7SBKP804JT78WJ0JNKI"</definedName>
    <definedName name="SAPwbID" hidden="1">"ARS"</definedName>
    <definedName name="sassss" localSheetId="10" hidden="1">{#N/A,#N/A,FALSE,"Costos Productos 6A";#N/A,#N/A,FALSE,"Costo Unitario Total H-94-12"}</definedName>
    <definedName name="sassss" localSheetId="1" hidden="1">{#N/A,#N/A,FALSE,"Costos Productos 6A";#N/A,#N/A,FALSE,"Costo Unitario Total H-94-12"}</definedName>
    <definedName name="sassss" localSheetId="0" hidden="1">{#N/A,#N/A,FALSE,"Costos Productos 6A";#N/A,#N/A,FALSE,"Costo Unitario Total H-94-12"}</definedName>
    <definedName name="sassss" hidden="1">{#N/A,#N/A,FALSE,"Costos Productos 6A";#N/A,#N/A,FALSE,"Costo Unitario Total H-94-12"}</definedName>
    <definedName name="sbgfbgdr" localSheetId="1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en_change" localSheetId="10" hidden="1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10" hidden="1">{"SUMINISTRO E INSTALACIÓN CANALETAS L=7.50"}</definedName>
    <definedName name="scen_value1" localSheetId="1" hidden="1">{"SUMINISTRO E INSTALACIÓN CANALETAS L=7.50"}</definedName>
    <definedName name="scen_value1" localSheetId="0" hidden="1">{"SUMINISTRO E INSTALACIÓN CANALETAS L=7.50"}</definedName>
    <definedName name="scen_value1" hidden="1">{"SUMINISTRO E INSTALACIÓN CANALETAS L=7.50"}</definedName>
    <definedName name="SCOG" localSheetId="1" hidden="1">{"'ADV&amp;DP'!$A$4:$C$25"}</definedName>
    <definedName name="SCOG" localSheetId="0" hidden="1">{"'ADV&amp;DP'!$A$4:$C$25"}</definedName>
    <definedName name="SCOG" hidden="1">{"'ADV&amp;DP'!$A$4:$C$25"}</definedName>
    <definedName name="sd" localSheetId="10" hidden="1">{"TAB1",#N/A,TRUE,"GENERAL";"TAB2",#N/A,TRUE,"GENERAL";"TAB3",#N/A,TRUE,"GENERAL";"TAB4",#N/A,TRUE,"GENERAL";"TAB5",#N/A,TRUE,"GENERAL"}</definedName>
    <definedName name="sdaf" localSheetId="1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0" hidden="1">{#N/A,#N/A,TRUE,"1842CWN0"}</definedName>
    <definedName name="SDDSAFF" localSheetId="1" hidden="1">{#N/A,#N/A,TRUE,"1842CWN0"}</definedName>
    <definedName name="SDDSAFF" localSheetId="0" hidden="1">{#N/A,#N/A,TRUE,"1842CWN0"}</definedName>
    <definedName name="SDDSAFF" hidden="1">{#N/A,#N/A,TRUE,"1842CWN0"}</definedName>
    <definedName name="sdfasdf" hidden="1">#REF!</definedName>
    <definedName name="SDFCE" localSheetId="1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0" hidden="1">{#N/A,#N/A,TRUE,"1842CWN0"}</definedName>
    <definedName name="SDFDG" localSheetId="1" hidden="1">{#N/A,#N/A,TRUE,"1842CWN0"}</definedName>
    <definedName name="SDFDG" localSheetId="0" hidden="1">{#N/A,#N/A,TRUE,"1842CWN0"}</definedName>
    <definedName name="SDFDG" hidden="1">{#N/A,#N/A,TRUE,"1842CWN0"}</definedName>
    <definedName name="sdfds" localSheetId="1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 localSheetId="10" hidden="1">#REF!</definedName>
    <definedName name="sdg" hidden="1">#REF!</definedName>
    <definedName name="sdgfd" localSheetId="1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 localSheetId="10" hidden="1">{#N/A,#N/A,FALSE,"PERSONAL"}</definedName>
    <definedName name="SDS" localSheetId="1" hidden="1">{#N/A,#N/A,FALSE,"PERSONAL"}</definedName>
    <definedName name="SDS" localSheetId="0" hidden="1">{#N/A,#N/A,FALSE,"PERSONAL"}</definedName>
    <definedName name="SDS" hidden="1">{#N/A,#N/A,FALSE,"PERSONAL"}</definedName>
    <definedName name="sdsdfh" localSheetId="1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0" hidden="1">{#N/A,#N/A,TRUE,"1842CWN0"}</definedName>
    <definedName name="sdsdfsdff" localSheetId="1" hidden="1">{#N/A,#N/A,TRUE,"1842CWN0"}</definedName>
    <definedName name="sdsdfsdff" localSheetId="0" hidden="1">{#N/A,#N/A,TRUE,"1842CWN0"}</definedName>
    <definedName name="sdsdfsdff" hidden="1">{#N/A,#N/A,TRUE,"1842CWN0"}</definedName>
    <definedName name="sencount" hidden="1">1</definedName>
    <definedName name="SERVICIOS" localSheetId="1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SERVICIOS" localSheetId="1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SERVICIOS" localSheetId="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SERVICIOS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setrj" localSheetId="1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gasd" localSheetId="1" hidden="1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 localSheetId="0" hidden="1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 hidden="1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HSGFH" localSheetId="1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sg" localSheetId="10" hidden="1">#REF!</definedName>
    <definedName name="sgsg" hidden="1">#REF!</definedName>
    <definedName name="sgsgs" localSheetId="10" hidden="1">#REF!</definedName>
    <definedName name="sgsgs" hidden="1">#REF!</definedName>
    <definedName name="shshsh" localSheetId="10" hidden="1">#REF!</definedName>
    <definedName name="shshsh" hidden="1">#REF!</definedName>
    <definedName name="SistemasPlazos" hidden="1">1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hidden="1">#REF!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RT2" localSheetId="10" hidden="1">#REF!</definedName>
    <definedName name="SORT2" hidden="1">#REF!</definedName>
    <definedName name="SOSO" localSheetId="10" hidden="1">#REF!</definedName>
    <definedName name="SOSO" hidden="1">#REF!</definedName>
    <definedName name="SQC" localSheetId="10" hidden="1">{#N/A,#N/A,FALSE,"Hoja1";#N/A,#N/A,FALSE,"Hoja2"}</definedName>
    <definedName name="SQC" localSheetId="1" hidden="1">{#N/A,#N/A,FALSE,"Hoja1";#N/A,#N/A,FALSE,"Hoja2"}</definedName>
    <definedName name="SQC" localSheetId="0" hidden="1">{#N/A,#N/A,FALSE,"Hoja1";#N/A,#N/A,FALSE,"Hoja2"}</definedName>
    <definedName name="SQC" hidden="1">{#N/A,#N/A,FALSE,"Hoja1";#N/A,#N/A,FALSE,"Hoja2"}</definedName>
    <definedName name="SQC." localSheetId="10" hidden="1">{#N/A,#N/A,FALSE,"Hoja1";#N/A,#N/A,FALSE,"Hoja2"}</definedName>
    <definedName name="SQC." localSheetId="1" hidden="1">{#N/A,#N/A,FALSE,"Hoja1";#N/A,#N/A,FALSE,"Hoja2"}</definedName>
    <definedName name="SQC." localSheetId="0" hidden="1">{#N/A,#N/A,FALSE,"Hoja1";#N/A,#N/A,FALSE,"Hoja2"}</definedName>
    <definedName name="SQC." hidden="1">{#N/A,#N/A,FALSE,"Hoja1";#N/A,#N/A,FALSE,"Hoja2"}</definedName>
    <definedName name="Sria_Respon" hidden="1">#REF!</definedName>
    <definedName name="srwrwr" localSheetId="1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hidden="1">#REF!</definedName>
    <definedName name="sssss" localSheetId="10" hidden="1">{"TAB1",#N/A,TRUE,"GENERAL";"TAB2",#N/A,TRUE,"GENERAL";"TAB3",#N/A,TRUE,"GENERAL";"TAB4",#N/A,TRUE,"GENERAL";"TAB5",#N/A,TRUE,"GENERAL"}</definedName>
    <definedName name="sssss" localSheetId="1" hidden="1">{"TAB1",#N/A,TRUE,"GENERAL";"TAB2",#N/A,TRUE,"GENERAL";"TAB3",#N/A,TRUE,"GENERAL";"TAB4",#N/A,TRUE,"GENERAL";"TAB5",#N/A,TRUE,"GENERAL"}</definedName>
    <definedName name="sssss" localSheetId="0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1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SSSSSSSSSSSS" hidden="1">#REF!</definedName>
    <definedName name="sssssy" localSheetId="1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localSheetId="10" hidden="1">#REF!</definedName>
    <definedName name="Stub" hidden="1">#REF!</definedName>
    <definedName name="Stub_Header1" localSheetId="10" hidden="1">#REF!</definedName>
    <definedName name="Stub_Header1" hidden="1">#REF!</definedName>
    <definedName name="Stub_Header2" localSheetId="10" hidden="1">#REF!</definedName>
    <definedName name="Stub_Header2" hidden="1">#REF!</definedName>
    <definedName name="Stub_Header3" localSheetId="10" hidden="1">#REF!</definedName>
    <definedName name="Stub_Header3" hidden="1">#REF!</definedName>
    <definedName name="Supervía" localSheetId="1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" localSheetId="1" hidden="1">{#N/A,#N/A,FALSE,"Costos Productos 6A";#N/A,#N/A,FALSE,"Costo Unitario Total H-94-12"}</definedName>
    <definedName name="sw" localSheetId="0" hidden="1">{#N/A,#N/A,FALSE,"Costos Productos 6A";#N/A,#N/A,FALSE,"Costo Unitario Total H-94-12"}</definedName>
    <definedName name="sw" hidden="1">{#N/A,#N/A,FALSE,"Costos Productos 6A";#N/A,#N/A,FALSE,"Costo Unitario Total H-94-12"}</definedName>
    <definedName name="swsw" localSheetId="1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xpb" localSheetId="10" hidden="1">#REF!</definedName>
    <definedName name="Taxpb" hidden="1">#REF!</definedName>
    <definedName name="tb_h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dy" localSheetId="1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tlepb" localSheetId="10" hidden="1">#REF!</definedName>
    <definedName name="Titlepb" hidden="1">#REF!</definedName>
    <definedName name="TK_1" localSheetId="10" hidden="1">#REF!</definedName>
    <definedName name="TK_1" hidden="1">#REF!</definedName>
    <definedName name="tortas" localSheetId="1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ALCOSTODIRECTO" localSheetId="10" hidden="1">#REF!</definedName>
    <definedName name="TOTALCOSTODIRECTO" hidden="1">#REF!</definedName>
    <definedName name="tr" localSheetId="1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PORI" localSheetId="10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eeList" hidden="1">"11000000000000000000000000000000000000000000000000000000000000000000000000000000000000000000000000000000000000000000000000000000000000000000000000000000000000000000000000000000000000000000000000000000"</definedName>
    <definedName name="trest" localSheetId="1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" localSheetId="10" hidden="1">#REF!</definedName>
    <definedName name="trew" hidden="1">#REF!</definedName>
    <definedName name="trh" localSheetId="1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0" hidden="1">#REF!</definedName>
    <definedName name="TUBERIA" hidden="1">#REF!</definedName>
    <definedName name="TUBERIA1" localSheetId="10" hidden="1">#REF!</definedName>
    <definedName name="TUBERIA1" hidden="1">#REF!</definedName>
    <definedName name="tur" localSheetId="1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0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h" localSheetId="1" hidden="1">{#N/A,#N/A,TRUE,"A"}</definedName>
    <definedName name="tyh" localSheetId="0" hidden="1">{#N/A,#N/A,TRUE,"A"}</definedName>
    <definedName name="tyh" hidden="1">{#N/A,#N/A,TRUE,"A"}</definedName>
    <definedName name="tyj" localSheetId="1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0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" localSheetId="10" hidden="1">#REF!</definedName>
    <definedName name="Unit" hidden="1">#REF!</definedName>
    <definedName name="unj" localSheetId="10" hidden="1">#REF!</definedName>
    <definedName name="unj" hidden="1">#REF!</definedName>
    <definedName name="UOUIV" localSheetId="1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0" hidden="1">#REF!</definedName>
    <definedName name="uuuu" hidden="1">#REF!</definedName>
    <definedName name="uuuuo" localSheetId="1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UYYUYU" localSheetId="10" hidden="1">{#N/A,#N/A,FALSE,"PERSONAL"}</definedName>
    <definedName name="UYYUYU" localSheetId="1" hidden="1">{#N/A,#N/A,FALSE,"PERSONAL"}</definedName>
    <definedName name="UYYUYU" localSheetId="0" hidden="1">{#N/A,#N/A,FALSE,"PERSONAL"}</definedName>
    <definedName name="UYYUYU" hidden="1">{#N/A,#N/A,FALSE,"PERSONAL"}</definedName>
    <definedName name="vbn" localSheetId="1" hidden="1">{#N/A,#N/A,TRUE,"A"}</definedName>
    <definedName name="vbn" localSheetId="0" hidden="1">{#N/A,#N/A,TRUE,"A"}</definedName>
    <definedName name="vbn" hidden="1">{#N/A,#N/A,TRUE,"A"}</definedName>
    <definedName name="vbvbvbvb" localSheetId="1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localSheetId="10" hidden="1">{"TAB1",#N/A,TRUE,"GENERAL";"TAB2",#N/A,TRUE,"GENERAL";"TAB3",#N/A,TRUE,"GENERAL";"TAB4",#N/A,TRUE,"GENERAL";"TAB5",#N/A,TRUE,"GENERAL"}</definedName>
    <definedName name="VDCJK" localSheetId="1" hidden="1">{"TAB1",#N/A,TRUE,"GENERAL";"TAB2",#N/A,TRUE,"GENERAL";"TAB3",#N/A,TRUE,"GENERAL";"TAB4",#N/A,TRUE,"GENERAL";"TAB5",#N/A,TRUE,"GENERAL"}</definedName>
    <definedName name="VDCJK" localSheetId="0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1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localSheetId="1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R" localSheetId="10" hidden="1">{"TAB1",#N/A,TRUE,"GENERAL";"TAB2",#N/A,TRUE,"GENERAL";"TAB3",#N/A,TRUE,"GENERAL";"TAB4",#N/A,TRUE,"GENERAL";"TAB5",#N/A,TRUE,"GENERAL"}</definedName>
    <definedName name="VER" localSheetId="1" hidden="1">{"TAB1",#N/A,TRUE,"GENERAL";"TAB2",#N/A,TRUE,"GENERAL";"TAB3",#N/A,TRUE,"GENERAL";"TAB4",#N/A,TRUE,"GENERAL";"TAB5",#N/A,TRUE,"GENERAL"}</definedName>
    <definedName name="VER" localSheetId="0" hidden="1">{"TAB1",#N/A,TRUE,"GENERAL";"TAB2",#N/A,TRUE,"GENERAL";"TAB3",#N/A,TRUE,"GENERAL";"TAB4",#N/A,TRUE,"GENERAL";"TAB5",#N/A,TRUE,"GENERAL"}</definedName>
    <definedName name="VER" hidden="1">{"TAB1",#N/A,TRUE,"GENERAL";"TAB2",#N/A,TRUE,"GENERAL";"TAB3",#N/A,TRUE,"GENERAL";"TAB4",#N/A,TRUE,"GENERAL";"TAB5",#N/A,TRUE,"GENERAL"}</definedName>
    <definedName name="VERO" localSheetId="10" hidden="1">{"via1",#N/A,TRUE,"general";"via2",#N/A,TRUE,"general";"via3",#N/A,TRUE,"general"}</definedName>
    <definedName name="VERO" localSheetId="1" hidden="1">{"via1",#N/A,TRUE,"general";"via2",#N/A,TRUE,"general";"via3",#N/A,TRUE,"general"}</definedName>
    <definedName name="VERO" localSheetId="0" hidden="1">{"via1",#N/A,TRUE,"general";"via2",#N/A,TRUE,"general";"via3",#N/A,TRUE,"general"}</definedName>
    <definedName name="VERO" hidden="1">{"via1",#N/A,TRUE,"general";"via2",#N/A,TRUE,"general";"via3",#N/A,TRUE,"general"}</definedName>
    <definedName name="Version4OK" localSheetId="10" hidden="1">{"Datos de las Curvas",#N/A,TRUE,"TABLA-CALCULOS"}</definedName>
    <definedName name="Version4OK" localSheetId="1" hidden="1">{"Datos de las Curvas",#N/A,TRUE,"TABLA-CALCULOS"}</definedName>
    <definedName name="Version4OK" localSheetId="0" hidden="1">{"Datos de las Curvas",#N/A,TRUE,"TABLA-CALCULOS"}</definedName>
    <definedName name="Version4OK" hidden="1">{"Datos de las Curvas",#N/A,TRUE,"TABLA-CALCULOS"}</definedName>
    <definedName name="vfbgnhyt" localSheetId="1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HGF" localSheetId="10" hidden="1">{#N/A,#N/A,FALSE,"PERSONAL"}</definedName>
    <definedName name="VHGF" localSheetId="1" hidden="1">{#N/A,#N/A,FALSE,"PERSONAL"}</definedName>
    <definedName name="VHGF" localSheetId="0" hidden="1">{#N/A,#N/A,FALSE,"PERSONAL"}</definedName>
    <definedName name="VHGF" hidden="1">{#N/A,#N/A,FALSE,"PERSONAL"}</definedName>
    <definedName name="VIA" localSheetId="10" hidden="1">#REF!</definedName>
    <definedName name="via" localSheetId="1" hidden="1">{"via1",#N/A,TRUE,"general";"via2",#N/A,TRUE,"general";"via3",#N/A,TRUE,"general"}</definedName>
    <definedName name="via" localSheetId="0" hidden="1">{"via1",#N/A,TRUE,"general";"via2",#N/A,TRUE,"general";"via3",#N/A,TRUE,"general"}</definedName>
    <definedName name="via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" localSheetId="10" hidden="1">{#N/A,#N/A,FALSE,"Costos Productos 6A";#N/A,#N/A,FALSE,"Costo Unitario Total H-94-12"}</definedName>
    <definedName name="vvvvvv" localSheetId="1" hidden="1">{#N/A,#N/A,FALSE,"Costos Productos 6A";#N/A,#N/A,FALSE,"Costo Unitario Total H-94-12"}</definedName>
    <definedName name="vvvvvv" localSheetId="0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localSheetId="1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cc" localSheetId="10" hidden="1">{#N/A,#N/A,FALSE,"SOACHA"}</definedName>
    <definedName name="wacc" localSheetId="1" hidden="1">{#N/A,#N/A,FALSE,"SOACHA"}</definedName>
    <definedName name="wacc" localSheetId="0" hidden="1">{#N/A,#N/A,FALSE,"SOACHA"}</definedName>
    <definedName name="wacc" hidden="1">{#N/A,#N/A,FALSE,"SOACHA"}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1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Q" localSheetId="10" hidden="1">{#N/A,#N/A,FALSE,"PERSONAL"}</definedName>
    <definedName name="WQ" localSheetId="1" hidden="1">{#N/A,#N/A,FALSE,"PERSONAL"}</definedName>
    <definedName name="WQ" localSheetId="0" hidden="1">{#N/A,#N/A,FALSE,"PERSONAL"}</definedName>
    <definedName name="WQ" hidden="1">{#N/A,#N/A,FALSE,"PERSONAL"}</definedName>
    <definedName name="WQEEWQ" localSheetId="1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EWQW" localSheetId="10" hidden="1">#REF!</definedName>
    <definedName name="WQEWQW" hidden="1">#REF!</definedName>
    <definedName name="wqw" localSheetId="10" hidden="1">#REF!</definedName>
    <definedName name="wqw" hidden="1">#REF!</definedName>
    <definedName name="wrn.???." localSheetId="1" hidden="1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 localSheetId="0" hidden="1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 hidden="1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ll._.Sheets." localSheetId="1" hidden="1">{#N/A,#N/A,FALSE,"1997 WW (Short)";#N/A,#N/A,FALSE,"1997 RF Mfg";#N/A,#N/A,FALSE,"Ancillary-CSM";#N/A,#N/A,FALSE,"1997 Service"}</definedName>
    <definedName name="wrn.All._.Sheets." localSheetId="0" hidden="1">{#N/A,#N/A,FALSE,"1997 WW (Short)";#N/A,#N/A,FALSE,"1997 RF Mfg";#N/A,#N/A,FALSE,"Ancillary-CSM";#N/A,#N/A,FALSE,"1997 Service"}</definedName>
    <definedName name="wrn.All._.Sheets." hidden="1">{#N/A,#N/A,FALSE,"1997 WW (Short)";#N/A,#N/A,FALSE,"1997 RF Mfg";#N/A,#N/A,FALSE,"Ancillary-CSM";#N/A,#N/A,FALSE,"1997 Service"}</definedName>
    <definedName name="wrn.Analisi._.completa.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0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dres." localSheetId="10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andres." localSheetId="1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andres." localSheetId="0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andres.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ANEXO1." localSheetId="10" hidden="1">{#N/A,#N/A,FALSE,"Costos Contables CIB A 12 1994";#N/A,#N/A,FALSE,"Cuadre Contab. y C. OP"}</definedName>
    <definedName name="wrn.ANEXO1." localSheetId="1" hidden="1">{#N/A,#N/A,FALSE,"Costos Contables CIB A 12 1994";#N/A,#N/A,FALSE,"Cuadre Contab. y C. OP"}</definedName>
    <definedName name="wrn.ANEXO1." localSheetId="0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10" hidden="1">{#N/A,#N/A,FALSE,"CIBHA05A";#N/A,#N/A,FALSE,"CIBHA05B"}</definedName>
    <definedName name="wrn.anexo5." localSheetId="1" hidden="1">{#N/A,#N/A,FALSE,"CIBHA05A";#N/A,#N/A,FALSE,"CIBHA05B"}</definedName>
    <definedName name="wrn.anexo5." localSheetId="0" hidden="1">{#N/A,#N/A,FALSE,"CIBHA05A";#N/A,#N/A,FALSE,"CIBHA05B"}</definedName>
    <definedName name="wrn.anexo5." hidden="1">{#N/A,#N/A,FALSE,"CIBHA05A";#N/A,#N/A,FALSE,"CIBHA05B"}</definedName>
    <definedName name="wrn.anexo6." localSheetId="10" hidden="1">{#N/A,#N/A,FALSE,"Costos Productos 6A";#N/A,#N/A,FALSE,"Costo Unitario Total H-94-12"}</definedName>
    <definedName name="wrn.anexo6." localSheetId="1" hidden="1">{#N/A,#N/A,FALSE,"Costos Productos 6A";#N/A,#N/A,FALSE,"Costo Unitario Total H-94-12"}</definedName>
    <definedName name="wrn.anexo6." localSheetId="0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localSheetId="10" hidden="1">{#N/A,#N/A,TRUE,"CODIGO DEPENDENCIA"}</definedName>
    <definedName name="wrn.ar." localSheetId="1" hidden="1">{#N/A,#N/A,TRUE,"CODIGO DEPENDENCIA"}</definedName>
    <definedName name="wrn.ar." localSheetId="0" hidden="1">{#N/A,#N/A,TRUE,"CODIGO DEPENDENCIA"}</definedName>
    <definedName name="wrn.ar." hidden="1">{#N/A,#N/A,TRUE,"CODIGO DEPENDENCIA"}</definedName>
    <definedName name="wrn.AR._.Meeting._.Schedules." localSheetId="1" hidden="1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 localSheetId="0" hidden="1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 hidden="1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gosy._.Ppto._.Exe." localSheetId="10" hidden="1">{#N/A,#N/A,FALSE,"CPR Santana"}</definedName>
    <definedName name="wrn.Argosy._.Ppto._.Exe." localSheetId="1" hidden="1">{#N/A,#N/A,FALSE,"CPR Santana"}</definedName>
    <definedName name="wrn.Argosy._.Ppto._.Exe." localSheetId="0" hidden="1">{#N/A,#N/A,FALSE,"CPR Santana"}</definedName>
    <definedName name="wrn.Argosy._.Ppto._.Exe." hidden="1">{#N/A,#N/A,FALSE,"CPR Santana"}</definedName>
    <definedName name="wrn.Asia.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0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Book." localSheetId="10" hidden="1">{"EVA",#N/A,FALSE,"SMT2";#N/A,#N/A,FALSE,"Summary";#N/A,#N/A,FALSE,"Graphs";#N/A,#N/A,FALSE,"4 Panel"}</definedName>
    <definedName name="wrn.Book." localSheetId="1" hidden="1">{"EVA",#N/A,FALSE,"SMT2";#N/A,#N/A,FALSE,"Summary";#N/A,#N/A,FALSE,"Graphs";#N/A,#N/A,FALSE,"4 Panel"}</definedName>
    <definedName name="wrn.Book." localSheetId="0" hidden="1">{"EVA",#N/A,FALSE,"SMT2";#N/A,#N/A,FALSE,"Summary";#N/A,#N/A,FALSE,"Graphs";#N/A,#N/A,FALSE,"4 Panel"}</definedName>
    <definedName name="wrn.Book." hidden="1">{"EVA",#N/A,FALSE,"SMT2";#N/A,#N/A,FALSE,"Summary";#N/A,#N/A,FALSE,"Graphs";#N/A,#N/A,FALSE,"4 Panel"}</definedName>
    <definedName name="wrn.CAR." localSheetId="1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localSheetId="1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localSheetId="10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localSheetId="1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localSheetId="0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PG._.All._.Sheets." localSheetId="1" hidden="1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 localSheetId="0" hidden="1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 hidden="1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Black._.and._.White." localSheetId="1" hidden="1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 localSheetId="0" hidden="1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 hidden="1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Color._.Charts." localSheetId="1" hidden="1">{#N/A,#N/A,FALSE,"4-up charts p.1";#N/A,#N/A,FALSE,"4-up charts p.2";#N/A,#N/A,FALSE," rate of ? qtr";#N/A,#N/A,FALSE,"Detail Rel rate of ? ";#N/A,#N/A,FALSE,"Inventory"}</definedName>
    <definedName name="wrn.CIPG._.Color._.Charts." localSheetId="0" hidden="1">{#N/A,#N/A,FALSE,"4-up charts p.1";#N/A,#N/A,FALSE,"4-up charts p.2";#N/A,#N/A,FALSE," rate of ? qtr";#N/A,#N/A,FALSE,"Detail Rel rate of ? ";#N/A,#N/A,FALSE,"Inventory"}</definedName>
    <definedName name="wrn.CIPG._.Color._.Charts." hidden="1">{#N/A,#N/A,FALSE,"4-up charts p.1";#N/A,#N/A,FALSE,"4-up charts p.2";#N/A,#N/A,FALSE," rate of ? qtr";#N/A,#N/A,FALSE,"Detail Rel rate of ? ";#N/A,#N/A,FALSE,"Inventory"}</definedName>
    <definedName name="wrn.civil._.works." localSheetId="10" hidden="1">{#N/A,#N/A,TRUE,"1842CWN0"}</definedName>
    <definedName name="wrn.civil._.works." localSheetId="1" hidden="1">{#N/A,#N/A,TRUE,"1842CWN0"}</definedName>
    <definedName name="wrn.civil._.works." localSheetId="0" hidden="1">{#N/A,#N/A,TRUE,"1842CWN0"}</definedName>
    <definedName name="wrn.civil._.works." hidden="1">{#N/A,#N/A,TRUE,"1842CWN0"}</definedName>
    <definedName name="wrn.civil._.works.1" localSheetId="10" hidden="1">{#N/A,#N/A,TRUE,"1842CWN0"}</definedName>
    <definedName name="wrn.civil._.works.1" localSheetId="1" hidden="1">{#N/A,#N/A,TRUE,"1842CWN0"}</definedName>
    <definedName name="wrn.civil._.works.1" localSheetId="0" hidden="1">{#N/A,#N/A,TRUE,"1842CWN0"}</definedName>
    <definedName name="wrn.civil._.works.1" hidden="1">{#N/A,#N/A,TRUE,"1842CWN0"}</definedName>
    <definedName name="wrn.Complete." localSheetId="10" hidden="1">{#N/A,#N/A,FALSE,"SMT1";#N/A,#N/A,FALSE,"SMT2";#N/A,#N/A,FALSE,"Summary";#N/A,#N/A,FALSE,"Graphs";#N/A,#N/A,FALSE,"4 Panel"}</definedName>
    <definedName name="wrn.Complete." localSheetId="1" hidden="1">{#N/A,#N/A,FALSE,"SMT1";#N/A,#N/A,FALSE,"SMT2";#N/A,#N/A,FALSE,"Summary";#N/A,#N/A,FALSE,"Graphs";#N/A,#N/A,FALSE,"4 Panel"}</definedName>
    <definedName name="wrn.Complete." localSheetId="0" hidden="1">{#N/A,#N/A,FALSE,"SMT1";#N/A,#N/A,FALSE,"SMT2";#N/A,#N/A,FALSE,"Summary";#N/A,#N/A,FALSE,"Graphs";#N/A,#N/A,FALSE,"4 Panel"}</definedName>
    <definedName name="wrn.Complete." hidden="1">{#N/A,#N/A,FALSE,"SMT1";#N/A,#N/A,FALSE,"SMT2";#N/A,#N/A,FALSE,"Summary";#N/A,#N/A,FALSE,"Graphs";#N/A,#N/A,FALSE,"4 Panel"}</definedName>
    <definedName name="wrn.Complete._.Set." localSheetId="10" hidden="1">{#N/A,#N/A,FALSE,"Full";#N/A,#N/A,FALSE,"Half";#N/A,#N/A,FALSE,"Op Expenses";#N/A,#N/A,FALSE,"Cap Charge";#N/A,#N/A,FALSE,"Cost C";#N/A,#N/A,FALSE,"PP&amp;E";#N/A,#N/A,FALSE,"R&amp;D"}</definedName>
    <definedName name="wrn.Complete._.Set." localSheetId="1" hidden="1">{#N/A,#N/A,FALSE,"Full";#N/A,#N/A,FALSE,"Half";#N/A,#N/A,FALSE,"Op Expenses";#N/A,#N/A,FALSE,"Cap Charge";#N/A,#N/A,FALSE,"Cost C";#N/A,#N/A,FALSE,"PP&amp;E";#N/A,#N/A,FALSE,"R&amp;D"}</definedName>
    <definedName name="wrn.Complete._.Set." localSheetId="0" hidden="1">{#N/A,#N/A,FALSE,"Full";#N/A,#N/A,FALSE,"Half";#N/A,#N/A,FALSE,"Op Expenses";#N/A,#N/A,FALSE,"Cap Charge";#N/A,#N/A,FALSE,"Cost C";#N/A,#N/A,FALSE,"PP&amp;E";#N/A,#N/A,FALSE,"R&amp;D"}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Consolidado._.Ppto._.Exe." localSheetId="10" hidden="1">{#N/A,#N/A,FALSE,"Consolidado"}</definedName>
    <definedName name="wrn.Consolidado._.Ppto._.Exe." localSheetId="1" hidden="1">{#N/A,#N/A,FALSE,"Consolidado"}</definedName>
    <definedName name="wrn.Consolidado._.Ppto._.Exe." localSheetId="0" hidden="1">{#N/A,#N/A,FALSE,"Consolidado"}</definedName>
    <definedName name="wrn.Consolidado._.Ppto._.Exe." hidden="1">{#N/A,#N/A,FALSE,"Consolidado"}</definedName>
    <definedName name="wrn.Cover." localSheetId="1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0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localSheetId="1" hidden="1">{#N/A,#N/A,TRUE,"Main Issues";#N/A,#N/A,TRUE,"Income statement ($)"}</definedName>
    <definedName name="wrn.Danilo." localSheetId="0" hidden="1">{#N/A,#N/A,TRUE,"Main Issues";#N/A,#N/A,TRUE,"Income statement ($)"}</definedName>
    <definedName name="wrn.Danilo." hidden="1">{#N/A,#N/A,TRUE,"Main Issues";#N/A,#N/A,TRUE,"Income statement ($)"}</definedName>
    <definedName name="wrn.DCF????." localSheetId="1" hidden="1">{"DCF-???",#N/A,TRUE,"???";"DCF-??",#N/A,TRUE,"??";"DCF-??",#N/A,TRUE,"??";"DCF-??",#N/A,TRUE,"??";"DCF-??",#N/A,TRUE,"??";"DCF-??",#N/A,TRUE,"??";"DCF-??",#N/A,TRUE,"??";"DCF-??",#N/A,TRUE,"??";"DCF-??",#N/A,TRUE,"??"}</definedName>
    <definedName name="wrn.DCF????." localSheetId="0" hidden="1">{"DCF-???",#N/A,TRUE,"???";"DCF-??",#N/A,TRUE,"??";"DCF-??",#N/A,TRUE,"??";"DCF-??",#N/A,TRUE,"??";"DCF-??",#N/A,TRUE,"??";"DCF-??",#N/A,TRUE,"??";"DCF-??",#N/A,TRUE,"??";"DCF-??",#N/A,TRUE,"??";"DCF-??",#N/A,TRUE,"??"}</definedName>
    <definedName name="wrn.DCF????." hidden="1">{"DCF-???",#N/A,TRUE,"???";"DCF-??",#N/A,TRUE,"??";"DCF-??",#N/A,TRUE,"??";"DCF-??",#N/A,TRUE,"??";"DCF-??",#N/A,TRUE,"??";"DCF-??",#N/A,TRUE,"??";"DCF-??",#N/A,TRUE,"??";"DCF-??",#N/A,TRUE,"??";"DCF-??",#N/A,TRUE,"??"}</definedName>
    <definedName name="wrn.DCF一括印刷.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 localSheetId="0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EAN2." localSheetId="1" hidden="1">{#N/A,#N/A,TRUE,"A"}</definedName>
    <definedName name="wrn.EAN2." localSheetId="0" hidden="1">{#N/A,#N/A,TRUE,"A"}</definedName>
    <definedName name="wrn.EAN2." hidden="1">{#N/A,#N/A,TRUE,"A"}</definedName>
    <definedName name="wrn.EAN3" localSheetId="1" hidden="1">{#N/A,#N/A,TRUE,"A"}</definedName>
    <definedName name="wrn.EAN3" localSheetId="0" hidden="1">{#N/A,#N/A,TRUE,"A"}</definedName>
    <definedName name="wrn.EAN3" hidden="1">{#N/A,#N/A,TRUE,"A"}</definedName>
    <definedName name="wrn.Ejecución._.de._.Ppto._.GOR._.2002." localSheetId="10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wrn.Ejecución._.de._.Ppto._.GOR._.2002." localSheetId="1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wrn.Ejecución._.de._.Ppto._.GOR._.2002." localSheetId="0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wrn.Ejecución._.de._.Ppto._.GOR._.2002.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wrn.ESTADO._.REHABILITACION." localSheetId="10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Europe." localSheetId="1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0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localSheetId="1" hidden="1">{"FCB_ALL",#N/A,FALSE,"FCB"}</definedName>
    <definedName name="wrn.fcb2" localSheetId="0" hidden="1">{"FCB_ALL",#N/A,FALSE,"FCB"}</definedName>
    <definedName name="wrn.fcb2" hidden="1">{"FCB_ALL",#N/A,FALSE,"FCB"}</definedName>
    <definedName name="wrn.fe" localSheetId="10" hidden="1">{#N/A,#N/A,TRUE,"1842CWN0"}</definedName>
    <definedName name="wrn.fe" localSheetId="1" hidden="1">{#N/A,#N/A,TRUE,"1842CWN0"}</definedName>
    <definedName name="wrn.fe" localSheetId="0" hidden="1">{#N/A,#N/A,TRUE,"1842CWN0"}</definedName>
    <definedName name="wrn.fe" hidden="1">{#N/A,#N/A,TRUE,"1842CWN0"}</definedName>
    <definedName name="wrn.FFFFFFF." localSheetId="10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FFFFFFF." localSheetId="1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FFFFFFF." localSheetId="0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FFFFFFF.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1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localSheetId="1" hidden="1">{#N/A,#N/A,TRUE,"5 year"}</definedName>
    <definedName name="wrn.five." localSheetId="0" hidden="1">{#N/A,#N/A,TRUE,"5 year"}</definedName>
    <definedName name="wrn.five." hidden="1">{#N/A,#N/A,TRUE,"5 year"}</definedName>
    <definedName name="wrn.fixed._.assets." localSheetId="1" hidden="1">{#N/A,#N/A,TRUE,"fixed assets"}</definedName>
    <definedName name="wrn.fixed._.assets." localSheetId="0" hidden="1">{#N/A,#N/A,TRUE,"fixed assets"}</definedName>
    <definedName name="wrn.fixed._.assets." hidden="1">{#N/A,#N/A,TRUE,"fixed assets"}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FS????." localSheetId="1" hidden="1">{"FS-???",#N/A,TRUE,"???";"FS-??",#N/A,TRUE,"??";"FS-??",#N/A,TRUE,"??";"FS-??",#N/A,TRUE,"??";"FS-??",#N/A,TRUE,"??";"FS-??",#N/A,TRUE,"??";"FS-??",#N/A,TRUE,"??";"FS-??",#N/A,TRUE,"??";"FS-??",#N/A,TRUE,"??"}</definedName>
    <definedName name="wrn.FS????." localSheetId="0" hidden="1">{"FS-???",#N/A,TRUE,"???";"FS-??",#N/A,TRUE,"??";"FS-??",#N/A,TRUE,"??";"FS-??",#N/A,TRUE,"??";"FS-??",#N/A,TRUE,"??";"FS-??",#N/A,TRUE,"??";"FS-??",#N/A,TRUE,"??";"FS-??",#N/A,TRUE,"??";"FS-??",#N/A,TRUE,"??"}</definedName>
    <definedName name="wrn.FS????." hidden="1">{"FS-???",#N/A,TRUE,"???";"FS-??",#N/A,TRUE,"??";"FS-??",#N/A,TRUE,"??";"FS-??",#N/A,TRUE,"??";"FS-??",#N/A,TRUE,"??";"FS-??",#N/A,TRUE,"??";"FS-??",#N/A,TRUE,"??";"FS-??",#N/A,TRUE,"??";"FS-??",#N/A,TRUE,"??"}</definedName>
    <definedName name="wrn.FS一括印刷." localSheetId="1" hidden="1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 localSheetId="0" hidden="1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 hidden="1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Ull._.Model." localSheetId="1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astos._.e._.Inversiones." localSheetId="10" hidden="1">{#N/A,#N/A,FALSE,"Ppto. Inv. por Proyectos";#N/A,#N/A,FALSE,"Ppto. Gastos por Asociación"}</definedName>
    <definedName name="wrn.Gastos._.e._.Inversiones." localSheetId="1" hidden="1">{#N/A,#N/A,FALSE,"Ppto. Inv. por Proyectos";#N/A,#N/A,FALSE,"Ppto. Gastos por Asociación"}</definedName>
    <definedName name="wrn.Gastos._.e._.Inversiones." localSheetId="0" hidden="1">{#N/A,#N/A,FALSE,"Ppto. Inv. por Proyectos";#N/A,#N/A,FALSE,"Ppto. Gastos por Asociación"}</definedName>
    <definedName name="wrn.Gastos._.e._.Inversiones." hidden="1">{#N/A,#N/A,FALSE,"Ppto. Inv. por Proyectos";#N/A,#N/A,FALSE,"Ppto. Gastos por Asociación"}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10" hidden="1">{"TAB1",#N/A,TRUE,"GENERAL";"TAB2",#N/A,TRUE,"GENERAL";"TAB3",#N/A,TRUE,"GENERAL";"TAB4",#N/A,TRUE,"GENERAL";"TAB5",#N/A,TRUE,"GENERAL"}</definedName>
    <definedName name="wrn.GENERAL._1" localSheetId="1" hidden="1">{"TAB1",#N/A,TRUE,"GENERAL";"TAB2",#N/A,TRUE,"GENERAL";"TAB3",#N/A,TRUE,"GENERAL";"TAB4",#N/A,TRUE,"GENERAL";"TAB5",#N/A,TRUE,"GENERAL"}</definedName>
    <definedName name="wrn.GENERAL._1" localSheetId="0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1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hhhuuuuu." localSheetId="10" hidden="1">{#N/A,#N/A,FALSE,"137.2.R";#N/A,#N/A,FALSE,"137.3.R";#N/A,#N/A,FALSE,"137.4.R";#N/A,#N/A,FALSE,"138.R";#N/A,#N/A,FALSE,"140.R";#N/A,#N/A,FALSE,"145.R";#N/A,#N/A,FALSE,"146.R"}</definedName>
    <definedName name="wrn.hhhuuuuu." localSheetId="1" hidden="1">{#N/A,#N/A,FALSE,"137.2.R";#N/A,#N/A,FALSE,"137.3.R";#N/A,#N/A,FALSE,"137.4.R";#N/A,#N/A,FALSE,"138.R";#N/A,#N/A,FALSE,"140.R";#N/A,#N/A,FALSE,"145.R";#N/A,#N/A,FALSE,"146.R"}</definedName>
    <definedName name="wrn.hhhuuuuu." localSheetId="0" hidden="1">{#N/A,#N/A,FALSE,"137.2.R";#N/A,#N/A,FALSE,"137.3.R";#N/A,#N/A,FALSE,"137.4.R";#N/A,#N/A,FALSE,"138.R";#N/A,#N/A,FALSE,"140.R";#N/A,#N/A,FALSE,"145.R";#N/A,#N/A,FALSE,"146.R"}</definedName>
    <definedName name="wrn.hhhuuuuu." hidden="1">{#N/A,#N/A,FALSE,"137.2.R";#N/A,#N/A,FALSE,"137.3.R";#N/A,#N/A,FALSE,"137.4.R";#N/A,#N/A,FALSE,"138.R";#N/A,#N/A,FALSE,"140.R";#N/A,#N/A,FALSE,"145.R";#N/A,#N/A,FALSE,"146.R"}</definedName>
    <definedName name="wrn.hojas." localSheetId="1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hojas." localSheetId="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hojas.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hojas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HyCal._.I._.Mixing.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localSheetId="1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localSheetId="1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4." localSheetId="10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wrn.impr4." localSheetId="1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wrn.impr4." localSheetId="0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wrn.impr4.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wrn.IMPR5." localSheetId="10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wrn.IMPR5." localSheetId="1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wrn.IMPR5." localSheetId="0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wrn.IMPR5.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wrn.IMPRESION." localSheetId="1" hidden="1">{"IMPRESION",#N/A,FALSE,"pequeño"}</definedName>
    <definedName name="wrn.IMPRESION." localSheetId="0" hidden="1">{"IMPRESION",#N/A,FALSE,"pequeño"}</definedName>
    <definedName name="wrn.IMPRESION." hidden="1">{"IMPRESION",#N/A,FALSE,"pequeño"}</definedName>
    <definedName name="wrn.Impresion._.Datos._.de._.las._.Curvas." localSheetId="10" hidden="1">{"Datos de las Curvas",#N/A,TRUE,"TABLA-CALCULOS"}</definedName>
    <definedName name="wrn.Impresion._.Datos._.de._.las._.Curvas." localSheetId="1" hidden="1">{"Datos de las Curvas",#N/A,TRUE,"TABLA-CALCULOS"}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INF_DIARIO." localSheetId="10" hidden="1">{#N/A,#N/A,FALSE,"PERSONAL"}</definedName>
    <definedName name="wrn.INF_DIARIO." localSheetId="1" hidden="1">{#N/A,#N/A,FALSE,"PERSONAL"}</definedName>
    <definedName name="wrn.INF_DIARIO." localSheetId="0" hidden="1">{#N/A,#N/A,FALSE,"PERSONAL"}</definedName>
    <definedName name="wrn.INF_DIARIO." hidden="1">{#N/A,#N/A,FALSE,"PERSONAL"}</definedName>
    <definedName name="wrn.inf1." localSheetId="1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1." localSheetId="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1.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1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10." localSheetId="10" hidden="1">{#N/A,#N/A,FALSE,"47.2.R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10." localSheetId="1" hidden="1">{#N/A,#N/A,FALSE,"47.2.R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10." localSheetId="0" hidden="1">{#N/A,#N/A,FALSE,"47.2.R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10." hidden="1">{#N/A,#N/A,FALSE,"47.2.R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2." localSheetId="10" hidden="1">{#N/A,#N/A,FALSE,"47.3.1.R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2." localSheetId="1" hidden="1">{#N/A,#N/A,FALSE,"47.3.1.R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2." localSheetId="0" hidden="1">{#N/A,#N/A,FALSE,"47.3.1.R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2." hidden="1">{#N/A,#N/A,FALSE,"47.3.1.R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4." localSheetId="1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4." localSheetId="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4.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4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OCIB." localSheetId="1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Julio._.052000." localSheetId="10" hidden="1">{#N/A,#N/A,FALSE,"nuevo formato actividades";#N/A,#N/A,FALSE,"nuevo formato actividades";#N/A,#N/A,FALSE,"nuevo formato actividades"}</definedName>
    <definedName name="wrn.Julio._.052000." localSheetId="1" hidden="1">{#N/A,#N/A,FALSE,"nuevo formato actividades";#N/A,#N/A,FALSE,"nuevo formato actividades";#N/A,#N/A,FALSE,"nuevo formato actividades"}</definedName>
    <definedName name="wrn.Julio._.052000." localSheetId="0" hidden="1">{#N/A,#N/A,FALSE,"nuevo formato actividades";#N/A,#N/A,FALSE,"nuevo formato actividades";#N/A,#N/A,FALSE,"nuevo formato actividades"}</definedName>
    <definedName name="wrn.Julio._.052000." hidden="1">{#N/A,#N/A,FALSE,"nuevo formato actividades";#N/A,#N/A,FALSE,"nuevo formato actividades";#N/A,#N/A,FALSE,"nuevo formato actividades"}</definedName>
    <definedName name="wrn.KKK." localSheetId="10" hidden="1">{#N/A,#N/A,FALSE,"31.R";#N/A,#N/A,FALSE,"31.1.R";#N/A,#N/A,FALSE,"31.2.R";#N/A,#N/A,FALSE,"31.3.R";#N/A,#N/A,FALSE,"32.R";#N/A,#N/A,FALSE,"32.1.R";#N/A,#N/A,FALSE,"32.1.1.R";#N/A,#N/A,FALSE,"32.1.2.R";#N/A,#N/A,FALSE,"32.1.3.R";#N/A,#N/A,FALSE,"34.R";#N/A,#N/A,FALSE,"34.1.R";#N/A,#N/A,FALSE,"35.R";#N/A,#N/A,FALSE,"35.1.R";#N/A,#N/A,FALSE,"35.2.R";#N/A,#N/A,FALSE,"35.3.R";#N/A,#N/A,FALSE,"39.R";#N/A,#N/A,FALSE,"39. a.R";#N/A,#N/A,FALSE,"39.b.R";#N/A,#N/A,FALSE,"41.R";#N/A,#N/A,FALSE,"41.1.R";#N/A,#N/A,FALSE,"41.2.R ";#N/A,#N/A,FALSE,"41.3.R ";#N/A,#N/A,FALSE,"42.R";#N/A,#N/A,FALSE,"42.1.R";#N/A,#N/A,FALSE,"42.2.R";#N/A,#N/A,FALSE,"42.3.R";#N/A,#N/A,FALSE,"44.R"}</definedName>
    <definedName name="wrn.KKK." localSheetId="1" hidden="1">{#N/A,#N/A,FALSE,"31.R";#N/A,#N/A,FALSE,"31.1.R";#N/A,#N/A,FALSE,"31.2.R";#N/A,#N/A,FALSE,"31.3.R";#N/A,#N/A,FALSE,"32.R";#N/A,#N/A,FALSE,"32.1.R";#N/A,#N/A,FALSE,"32.1.1.R";#N/A,#N/A,FALSE,"32.1.2.R";#N/A,#N/A,FALSE,"32.1.3.R";#N/A,#N/A,FALSE,"34.R";#N/A,#N/A,FALSE,"34.1.R";#N/A,#N/A,FALSE,"35.R";#N/A,#N/A,FALSE,"35.1.R";#N/A,#N/A,FALSE,"35.2.R";#N/A,#N/A,FALSE,"35.3.R";#N/A,#N/A,FALSE,"39.R";#N/A,#N/A,FALSE,"39. a.R";#N/A,#N/A,FALSE,"39.b.R";#N/A,#N/A,FALSE,"41.R";#N/A,#N/A,FALSE,"41.1.R";#N/A,#N/A,FALSE,"41.2.R ";#N/A,#N/A,FALSE,"41.3.R ";#N/A,#N/A,FALSE,"42.R";#N/A,#N/A,FALSE,"42.1.R";#N/A,#N/A,FALSE,"42.2.R";#N/A,#N/A,FALSE,"42.3.R";#N/A,#N/A,FALSE,"44.R"}</definedName>
    <definedName name="wrn.KKK." localSheetId="0" hidden="1">{#N/A,#N/A,FALSE,"31.R";#N/A,#N/A,FALSE,"31.1.R";#N/A,#N/A,FALSE,"31.2.R";#N/A,#N/A,FALSE,"31.3.R";#N/A,#N/A,FALSE,"32.R";#N/A,#N/A,FALSE,"32.1.R";#N/A,#N/A,FALSE,"32.1.1.R";#N/A,#N/A,FALSE,"32.1.2.R";#N/A,#N/A,FALSE,"32.1.3.R";#N/A,#N/A,FALSE,"34.R";#N/A,#N/A,FALSE,"34.1.R";#N/A,#N/A,FALSE,"35.R";#N/A,#N/A,FALSE,"35.1.R";#N/A,#N/A,FALSE,"35.2.R";#N/A,#N/A,FALSE,"35.3.R";#N/A,#N/A,FALSE,"39.R";#N/A,#N/A,FALSE,"39. a.R";#N/A,#N/A,FALSE,"39.b.R";#N/A,#N/A,FALSE,"41.R";#N/A,#N/A,FALSE,"41.1.R";#N/A,#N/A,FALSE,"41.2.R ";#N/A,#N/A,FALSE,"41.3.R ";#N/A,#N/A,FALSE,"42.R";#N/A,#N/A,FALSE,"42.1.R";#N/A,#N/A,FALSE,"42.2.R";#N/A,#N/A,FALSE,"42.3.R";#N/A,#N/A,FALSE,"44.R"}</definedName>
    <definedName name="wrn.KKK." hidden="1">{#N/A,#N/A,FALSE,"31.R";#N/A,#N/A,FALSE,"31.1.R";#N/A,#N/A,FALSE,"31.2.R";#N/A,#N/A,FALSE,"31.3.R";#N/A,#N/A,FALSE,"32.R";#N/A,#N/A,FALSE,"32.1.R";#N/A,#N/A,FALSE,"32.1.1.R";#N/A,#N/A,FALSE,"32.1.2.R";#N/A,#N/A,FALSE,"32.1.3.R";#N/A,#N/A,FALSE,"34.R";#N/A,#N/A,FALSE,"34.1.R";#N/A,#N/A,FALSE,"35.R";#N/A,#N/A,FALSE,"35.1.R";#N/A,#N/A,FALSE,"35.2.R";#N/A,#N/A,FALSE,"35.3.R";#N/A,#N/A,FALSE,"39.R";#N/A,#N/A,FALSE,"39. a.R";#N/A,#N/A,FALSE,"39.b.R";#N/A,#N/A,FALSE,"41.R";#N/A,#N/A,FALSE,"41.1.R";#N/A,#N/A,FALSE,"41.2.R ";#N/A,#N/A,FALSE,"41.3.R ";#N/A,#N/A,FALSE,"42.R";#N/A,#N/A,FALSE,"42.1.R";#N/A,#N/A,FALSE,"42.2.R";#N/A,#N/A,FALSE,"42.3.R";#N/A,#N/A,FALSE,"44.R"}</definedName>
    <definedName name="wrn.Kr.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listado." localSheetId="10" hidden="1">{#N/A,#N/A,FALSE,"PROPON.2001"}</definedName>
    <definedName name="wrn.listado." localSheetId="1" hidden="1">{#N/A,#N/A,FALSE,"PROPON.2001"}</definedName>
    <definedName name="wrn.listado." localSheetId="0" hidden="1">{#N/A,#N/A,FALSE,"PROPON.2001"}</definedName>
    <definedName name="wrn.listado." hidden="1">{#N/A,#N/A,FALSE,"PROPON.2001"}</definedName>
    <definedName name="wrn.listo." localSheetId="1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." localSheetId="1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." localSheetId="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.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1" localSheetId="1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1" localSheetId="1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1" localSheetId="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1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Modello." localSheetId="1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0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NoCal._.I._.Mixing.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localSheetId="1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BRASC." localSheetId="1" hidden="1">{"AURES1",#N/A,FALSE,"GENERAL";"AURES2",#N/A,FALSE,"GENERAL";"AURES3",#N/A,FALSE,"GENERAL";"AURES4",#N/A,FALSE,"GENERAL";"AURES5",#N/A,FALSE,"GENERAL";"AURES6",#N/A,FALSE,"GENERAL";"AURES7",#N/A,FALSE,"GENERAL"}</definedName>
    <definedName name="wrn.OBRASC." localSheetId="0" hidden="1">{"AURES1",#N/A,FALSE,"GENERAL";"AURES2",#N/A,FALSE,"GENERAL";"AURES3",#N/A,FALSE,"GENERAL";"AURES4",#N/A,FALSE,"GENERAL";"AURES5",#N/A,FALSE,"GENERAL";"AURES6",#N/A,FALSE,"GENERAL";"AURES7",#N/A,FALSE,"GENERAL"}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ccidental._.Ppto._.Exe." localSheetId="10" hidden="1">{#N/A,#N/A,FALSE,"Cravo Norte"}</definedName>
    <definedName name="wrn.Occidental._.Ppto._.Exe." localSheetId="1" hidden="1">{#N/A,#N/A,FALSE,"Cravo Norte"}</definedName>
    <definedName name="wrn.Occidental._.Ppto._.Exe." localSheetId="0" hidden="1">{#N/A,#N/A,FALSE,"Cravo Norte"}</definedName>
    <definedName name="wrn.Occidental._.Ppto._.Exe." hidden="1">{#N/A,#N/A,FALSE,"Cravo Norte"}</definedName>
    <definedName name="wrn.OMAR" localSheetId="10" hidden="1">{#N/A,#N/A,TRUE,"INGENIERIA";#N/A,#N/A,TRUE,"COMPRAS";#N/A,#N/A,TRUE,"DIRECCION";#N/A,#N/A,TRUE,"RESUMEN"}</definedName>
    <definedName name="wrn.OMAR" localSheetId="1" hidden="1">{#N/A,#N/A,TRUE,"INGENIERIA";#N/A,#N/A,TRUE,"COMPRAS";#N/A,#N/A,TRUE,"DIRECCION";#N/A,#N/A,TRUE,"RESUMEN"}</definedName>
    <definedName name="wrn.OMAR" localSheetId="0" hidden="1">{#N/A,#N/A,TRUE,"INGENIERIA";#N/A,#N/A,TRUE,"COMPRAS";#N/A,#N/A,TRUE,"DIRECCION";#N/A,#N/A,TRUE,"RESUMEN"}</definedName>
    <definedName name="wrn.OMAR" hidden="1">{#N/A,#N/A,TRUE,"INGENIERIA";#N/A,#N/A,TRUE,"COMPRAS";#N/A,#N/A,TRUE,"DIRECCION";#N/A,#N/A,TRUE,"RESUMEN"}</definedName>
    <definedName name="wrn.ooooollllll." localSheetId="10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wrn.ooooollllll." localSheetId="1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wrn.ooooollllll." localSheetId="0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wrn.ooooollllll.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wrn.OPERADORES." localSheetId="10" hidden="1">{#N/A,#N/A,TRUE,"T1"}</definedName>
    <definedName name="wrn.OPERADORES." localSheetId="1" hidden="1">{#N/A,#N/A,TRUE,"T1"}</definedName>
    <definedName name="wrn.OPERADORES." localSheetId="0" hidden="1">{#N/A,#N/A,TRUE,"T1"}</definedName>
    <definedName name="wrn.OPERADORES." hidden="1">{#N/A,#N/A,TRUE,"T1"}</definedName>
    <definedName name="wrn.Outlook._.Report." localSheetId="1" hidden="1">{#N/A,#N/A,FALSE,"Outlook for Month ";#N/A,#N/A,FALSE,"Risk for Month ";#N/A,#N/A,FALSE,"Upside for Month"}</definedName>
    <definedName name="wrn.Outlook._.Report." localSheetId="0" hidden="1">{#N/A,#N/A,FALSE,"Outlook for Month ";#N/A,#N/A,FALSE,"Risk for Month ";#N/A,#N/A,FALSE,"Upside for Month"}</definedName>
    <definedName name="wrn.Outlook._.Report." hidden="1">{#N/A,#N/A,FALSE,"Outlook for Month ";#N/A,#N/A,FALSE,"Risk for Month ";#N/A,#N/A,FALSE,"Upside for Month"}</definedName>
    <definedName name="wrn.Output.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0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erenco._.Ppto._.Exe." localSheetId="10" hidden="1">{#N/A,#N/A,FALSE,"Casanare";#N/A,#N/A,FALSE,"Estero";#N/A,#N/A,FALSE,"Garcero";#N/A,#N/A,FALSE,"Orocué";#N/A,#N/A,FALSE,"Corocora"}</definedName>
    <definedName name="wrn.Perenco._.Ppto._.Exe." localSheetId="1" hidden="1">{#N/A,#N/A,FALSE,"Casanare";#N/A,#N/A,FALSE,"Estero";#N/A,#N/A,FALSE,"Garcero";#N/A,#N/A,FALSE,"Orocué";#N/A,#N/A,FALSE,"Corocora"}</definedName>
    <definedName name="wrn.Perenco._.Ppto._.Exe." localSheetId="0" hidden="1">{#N/A,#N/A,FALSE,"Casanare";#N/A,#N/A,FALSE,"Estero";#N/A,#N/A,FALSE,"Garcero";#N/A,#N/A,FALSE,"Orocué";#N/A,#N/A,FALSE,"Corocora"}</definedName>
    <definedName name="wrn.Perenco._.Ppto._.Exe." hidden="1">{#N/A,#N/A,FALSE,"Casanare";#N/A,#N/A,FALSE,"Estero";#N/A,#N/A,FALSE,"Garcero";#N/A,#N/A,FALSE,"Orocué";#N/A,#N/A,FALSE,"Corocora"}</definedName>
    <definedName name="wrn.Petrobras._.Ppto._.Exe." localSheetId="10" hidden="1">{#N/A,#N/A,FALSE,"Upía";#N/A,#N/A,FALSE,"CPR Espinal";#N/A,#N/A,FALSE,"Magangué"}</definedName>
    <definedName name="wrn.Petrobras._.Ppto._.Exe." localSheetId="1" hidden="1">{#N/A,#N/A,FALSE,"Upía";#N/A,#N/A,FALSE,"CPR Espinal";#N/A,#N/A,FALSE,"Magangué"}</definedName>
    <definedName name="wrn.Petrobras._.Ppto._.Exe." localSheetId="0" hidden="1">{#N/A,#N/A,FALSE,"Upía";#N/A,#N/A,FALSE,"CPR Espinal";#N/A,#N/A,FALSE,"Magangué"}</definedName>
    <definedName name="wrn.Petrobras._.Ppto._.Exe." hidden="1">{#N/A,#N/A,FALSE,"Upía";#N/A,#N/A,FALSE,"CPR Espinal";#N/A,#N/A,FALSE,"Magangué"}</definedName>
    <definedName name="wrn.Presupuesto." localSheetId="10" hidden="1">{#N/A,#N/A,TRUE,"Unifilar"}</definedName>
    <definedName name="wrn.Presupuesto." localSheetId="1" hidden="1">{#N/A,#N/A,TRUE,"Unifilar"}</definedName>
    <definedName name="wrn.Presupuesto." localSheetId="0" hidden="1">{#N/A,#N/A,TRUE,"Unifilar"}</definedName>
    <definedName name="wrn.Presupuesto." hidden="1">{#N/A,#N/A,TRUE,"Unifilar"}</definedName>
    <definedName name="wrn.procurement." localSheetId="10" hidden="1">{#N/A,#N/A,FALSE,"sumi ";#N/A,#N/A,FALSE,"RESUMEN"}</definedName>
    <definedName name="wrn.procurement." localSheetId="1" hidden="1">{#N/A,#N/A,FALSE,"sumi ";#N/A,#N/A,FALSE,"RESUMEN"}</definedName>
    <definedName name="wrn.procurement." localSheetId="0" hidden="1">{#N/A,#N/A,FALSE,"sumi ";#N/A,#N/A,FALSE,"RESUMEN"}</definedName>
    <definedName name="wrn.procurement." hidden="1">{#N/A,#N/A,FALSE,"sumi ";#N/A,#N/A,FALSE,"RESUMEN"}</definedName>
    <definedName name="wrn.PRODUCCION._.SOACHA." localSheetId="10" hidden="1">{#N/A,#N/A,FALSE,"SOACHA"}</definedName>
    <definedName name="wrn.PRODUCCION._.SOACHA." localSheetId="1" hidden="1">{#N/A,#N/A,FALSE,"SOACHA"}</definedName>
    <definedName name="wrn.PRODUCCION._.SOACHA." localSheetId="0" hidden="1">{#N/A,#N/A,FALSE,"SOACHA"}</definedName>
    <definedName name="wrn.PRODUCCION._.SOACHA." hidden="1">{#N/A,#N/A,FALSE,"SOACHA"}</definedName>
    <definedName name="wrn.PRU_1." localSheetId="10" hidden="1">{#N/A,#N/A,FALSE,"PERSONAL"}</definedName>
    <definedName name="wrn.PRU_1." localSheetId="1" hidden="1">{#N/A,#N/A,FALSE,"PERSONAL"}</definedName>
    <definedName name="wrn.PRU_1." localSheetId="0" hidden="1">{#N/A,#N/A,FALSE,"PERSONAL"}</definedName>
    <definedName name="wrn.PRU_1." hidden="1">{#N/A,#N/A,FALSE,"PERSONAL"}</definedName>
    <definedName name="wrn.res7" localSheetId="10" hidden="1">{#N/A,#N/A,FALSE,"Hoja1";#N/A,#N/A,FALSE,"Hoja2"}</definedName>
    <definedName name="wrn.res7" localSheetId="1" hidden="1">{#N/A,#N/A,FALSE,"Hoja1";#N/A,#N/A,FALSE,"Hoja2"}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tructuring._.Summaries." localSheetId="10" hidden="1">{#N/A,#N/A,TRUE,"Transaction Summary";#N/A,#N/A,TRUE,"Restructuring Sensitivities";#N/A,#N/A,TRUE,"DCF";#N/A,#N/A,TRUE,"IRR";#N/A,#N/A,TRUE,"Debt Capacity"}</definedName>
    <definedName name="wrn.Restructuring._.Summaries." localSheetId="1" hidden="1">{#N/A,#N/A,TRUE,"Transaction Summary";#N/A,#N/A,TRUE,"Restructuring Sensitivities";#N/A,#N/A,TRUE,"DCF";#N/A,#N/A,TRUE,"IRR";#N/A,#N/A,TRUE,"Debt Capacity"}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10" hidden="1">{#N/A,#N/A,FALSE,"Hoja1";#N/A,#N/A,FALSE,"Hoja2"}</definedName>
    <definedName name="wrn.Resumen." localSheetId="1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RPT." localSheetId="1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 localSheetId="0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sasas." localSheetId="10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wrn.sasas." localSheetId="1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wrn.sasas." localSheetId="0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wrn.sasas.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wrn.SOACHA." localSheetId="10" hidden="1">{#N/A,#N/A,FALSE,"SOACHA"}</definedName>
    <definedName name="wrn.SOACHA." localSheetId="1" hidden="1">{#N/A,#N/A,FALSE,"SOACHA"}</definedName>
    <definedName name="wrn.SOACHA." localSheetId="0" hidden="1">{#N/A,#N/A,FALSE,"SOACHA"}</definedName>
    <definedName name="wrn.SOACHA." hidden="1">{#N/A,#N/A,FALSE,"SOACHA"}</definedName>
    <definedName name="wrn.SSSSSS." localSheetId="10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SSSSSS." localSheetId="1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SSSSSS." localSheetId="0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SSSSSS.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summary._.report." localSheetId="1" hidden="1">{#N/A,#N/A,TRUE,"Summary"}</definedName>
    <definedName name="wrn.summary._.report." localSheetId="0" hidden="1">{#N/A,#N/A,TRUE,"Summary"}</definedName>
    <definedName name="wrn.summary._.report." hidden="1">{#N/A,#N/A,TRUE,"Summary"}</definedName>
    <definedName name="wrn.SUP._.1." localSheetId="10" hidden="1">{#N/A,#N/A,FALSE,"PERSONAL"}</definedName>
    <definedName name="wrn.SUP._.1." localSheetId="1" hidden="1">{#N/A,#N/A,FALSE,"PERSONAL"}</definedName>
    <definedName name="wrn.SUP._.1." localSheetId="0" hidden="1">{#N/A,#N/A,FALSE,"PERSONAL"}</definedName>
    <definedName name="wrn.SUP._.1." hidden="1">{#N/A,#N/A,FALSE,"PERSONAL"}</definedName>
    <definedName name="wrn.SUPER." localSheetId="10" hidden="1">{#N/A,#N/A,FALSE,"PERSONAL"}</definedName>
    <definedName name="wrn.SUPER." localSheetId="1" hidden="1">{#N/A,#N/A,FALSE,"PERSONAL"}</definedName>
    <definedName name="wrn.SUPER." localSheetId="0" hidden="1">{#N/A,#N/A,FALSE,"PERSONAL"}</definedName>
    <definedName name="wrn.SUPER." hidden="1">{#N/A,#N/A,FALSE,"PERSONAL"}</definedName>
    <definedName name="wrn.synt." localSheetId="1" hidden="1">{#N/A,#N/A,FALSE,"c_finanz";#N/A,#N/A,FALSE,"c_eco";#N/A,#N/A,FALSE,"investimenti";#N/A,#N/A,FALSE,"tir"}</definedName>
    <definedName name="wrn.synt." localSheetId="0" hidden="1">{#N/A,#N/A,FALSE,"c_finanz";#N/A,#N/A,FALSE,"c_eco";#N/A,#N/A,FALSE,"investimenti";#N/A,#N/A,FALSE,"tir"}</definedName>
    <definedName name="wrn.synt." hidden="1">{#N/A,#N/A,FALSE,"c_finanz";#N/A,#N/A,FALSE,"c_eco";#N/A,#N/A,FALSE,"investimenti";#N/A,#N/A,FALSE,"tir"}</definedName>
    <definedName name="wrn.tables." localSheetId="1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localSheetId="1" hidden="1">{"test2",#N/A,TRUE,"Prices"}</definedName>
    <definedName name="wrn.test." localSheetId="0" hidden="1">{"test2",#N/A,TRUE,"Prices"}</definedName>
    <definedName name="wrn.test." hidden="1">{"test2",#N/A,TRUE,"Prices"}</definedName>
    <definedName name="wrn.Todos._.CAs." localSheetId="10" hidden="1">{#N/A,#N/A,FALSE,"Cravo Norte";#N/A,#N/A,FALSE,"Upía";#N/A,#N/A,FALSE,"CPR Espinal";#N/A,#N/A,FALSE,"Magangué";#N/A,#N/A,FALSE,"Casanare";#N/A,#N/A,FALSE,"Estero";#N/A,#N/A,FALSE,"Garcero";#N/A,#N/A,FALSE,"Orocué";#N/A,#N/A,FALSE,"Corocora";#N/A,#N/A,FALSE,"CPR Santana"}</definedName>
    <definedName name="wrn.Todos._.CAs." localSheetId="1" hidden="1">{#N/A,#N/A,FALSE,"Cravo Norte";#N/A,#N/A,FALSE,"Upía";#N/A,#N/A,FALSE,"CPR Espinal";#N/A,#N/A,FALSE,"Magangué";#N/A,#N/A,FALSE,"Casanare";#N/A,#N/A,FALSE,"Estero";#N/A,#N/A,FALSE,"Garcero";#N/A,#N/A,FALSE,"Orocué";#N/A,#N/A,FALSE,"Corocora";#N/A,#N/A,FALSE,"CPR Santana"}</definedName>
    <definedName name="wrn.Todos._.CAs." localSheetId="0" hidden="1">{#N/A,#N/A,FALSE,"Cravo Norte";#N/A,#N/A,FALSE,"Upía";#N/A,#N/A,FALSE,"CPR Espinal";#N/A,#N/A,FALSE,"Magangué";#N/A,#N/A,FALSE,"Casanare";#N/A,#N/A,FALSE,"Estero";#N/A,#N/A,FALSE,"Garcero";#N/A,#N/A,FALSE,"Orocué";#N/A,#N/A,FALSE,"Corocora";#N/A,#N/A,FALSE,"CPR Santana"}</definedName>
    <definedName name="wrn.Todos._.CAs." hidden="1">{#N/A,#N/A,FALSE,"Cravo Norte";#N/A,#N/A,FALSE,"Upía";#N/A,#N/A,FALSE,"CPR Espinal";#N/A,#N/A,FALSE,"Magangué";#N/A,#N/A,FALSE,"Casanare";#N/A,#N/A,FALSE,"Estero";#N/A,#N/A,FALSE,"Garcero";#N/A,#N/A,FALSE,"Orocué";#N/A,#N/A,FALSE,"Corocora";#N/A,#N/A,FALSE,"CPR Santana"}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uuff." localSheetId="1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uuff." localSheetId="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uuff.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uuff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via." localSheetId="1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10" hidden="1">{"via1",#N/A,TRUE,"general";"via2",#N/A,TRUE,"general";"via3",#N/A,TRUE,"general"}</definedName>
    <definedName name="wrn.via._1" localSheetId="1" hidden="1">{"via1",#N/A,TRUE,"general";"via2",#N/A,TRUE,"general";"via3",#N/A,TRUE,"general"}</definedName>
    <definedName name="wrn.via._1" localSheetId="0" hidden="1">{"via1",#N/A,TRUE,"general";"via2",#N/A,TRUE,"general";"via3",#N/A,TRUE,"general"}</definedName>
    <definedName name="wrn.via._1" hidden="1">{"via1",#N/A,TRUE,"general";"via2",#N/A,TRUE,"general";"via3",#N/A,TRUE,"general"}</definedName>
    <definedName name="wrn.YYYY." localSheetId="1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YYYY." localSheetId="1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YYYY." localSheetId="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YYYY.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全印刷." localSheetId="1" hidden="1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 localSheetId="0" hidden="1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 hidden="1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RES8" localSheetId="10" hidden="1">{#N/A,#N/A,FALSE,"Hoja1";#N/A,#N/A,FALSE,"Hoja2"}</definedName>
    <definedName name="WRNRES8" localSheetId="1" hidden="1">{#N/A,#N/A,FALSE,"Hoja1";#N/A,#N/A,FALSE,"Hoja2"}</definedName>
    <definedName name="WRNRES8" localSheetId="0" hidden="1">{#N/A,#N/A,FALSE,"Hoja1";#N/A,#N/A,FALSE,"Hoja2"}</definedName>
    <definedName name="WRNRES8" hidden="1">{#N/A,#N/A,FALSE,"Hoja1";#N/A,#N/A,FALSE,"Hoja2"}</definedName>
    <definedName name="wsdds" localSheetId="1" hidden="1">{"TAB1",#N/A,TRUE,"GENERAL";"TAB2",#N/A,TRUE,"GENERAL";"TAB3",#N/A,TRUE,"GENERAL";"TAB4",#N/A,TRUE,"GENERAL";"TAB5",#N/A,TRUE,"GENERAL"}</definedName>
    <definedName name="wsdds" localSheetId="0" hidden="1">{"TAB1",#N/A,TRUE,"GENERAL";"TAB2",#N/A,TRUE,"GENERAL";"TAB3",#N/A,TRUE,"GENERAL";"TAB4",#N/A,TRUE,"GENERAL";"TAB5",#N/A,TRUE,"GENERAL"}</definedName>
    <definedName name="wsdds" hidden="1">{"TAB1",#N/A,TRUE,"GENERAL";"TAB2",#N/A,TRUE,"GENERAL";"TAB3",#N/A,TRUE,"GENERAL";"TAB4",#N/A,TRUE,"GENERAL";"TAB5",#N/A,TRUE,"GENERAL"}</definedName>
    <definedName name="wsnhed" localSheetId="1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oil." localSheetId="1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localSheetId="1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localSheetId="10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localSheetId="1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localSheetId="0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localSheetId="10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localSheetId="1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localSheetId="0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ded3" localSheetId="1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localSheetId="1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we" localSheetId="1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bxb" localSheetId="10" hidden="1">#REF!</definedName>
    <definedName name="xbxb" hidden="1">#REF!</definedName>
    <definedName name="xcbvbs" localSheetId="1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PLOT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SW" localSheetId="10" hidden="1">{#N/A,#N/A,TRUE,"1842CWN0"}</definedName>
    <definedName name="XSW" localSheetId="1" hidden="1">{#N/A,#N/A,TRUE,"1842CWN0"}</definedName>
    <definedName name="XSW" localSheetId="0" hidden="1">{#N/A,#N/A,TRUE,"1842CWN0"}</definedName>
    <definedName name="XSW" hidden="1">{#N/A,#N/A,TRUE,"1842CWN0"}</definedName>
    <definedName name="xsxs" localSheetId="1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KSDGOFKDS" localSheetId="1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VKSDGOFKD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VKSDGOFKD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VKSDGOFKD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vxv" localSheetId="10" hidden="1">#REF!</definedName>
    <definedName name="xvxv" hidden="1">#REF!</definedName>
    <definedName name="xxfg" localSheetId="1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10" hidden="1">{"via1",#N/A,TRUE,"general";"via2",#N/A,TRUE,"general";"via3",#N/A,TRUE,"general"}</definedName>
    <definedName name="XXXX" localSheetId="1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XXXX" localSheetId="0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XXXX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XXXXX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1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0" hidden="1">{#N/A,#N/A,TRUE,"INGENIERIA";#N/A,#N/A,TRUE,"COMPRAS";#N/A,#N/A,TRUE,"DIRECCION";#N/A,#N/A,TRUE,"RESUMEN"}</definedName>
    <definedName name="XXXXXX" localSheetId="1" hidden="1">{#N/A,#N/A,TRUE,"INGENIERIA";#N/A,#N/A,TRUE,"COMPRAS";#N/A,#N/A,TRUE,"DIRECCION";#N/A,#N/A,TRUE,"RESUMEN"}</definedName>
    <definedName name="XXXXXX" localSheetId="0" hidden="1">{#N/A,#N/A,TRUE,"INGENIERIA";#N/A,#N/A,TRUE,"COMPRAS";#N/A,#N/A,TRUE,"DIRECCION";#N/A,#N/A,TRUE,"RESUMEN"}</definedName>
    <definedName name="XXXXXX" hidden="1">{#N/A,#N/A,TRUE,"INGENIERIA";#N/A,#N/A,TRUE,"COMPRAS";#N/A,#N/A,TRUE,"DIRECCION";#N/A,#N/A,TRUE,"RESUMEN"}</definedName>
    <definedName name="XXXXXXXX" localSheetId="10" hidden="1">#REF!</definedName>
    <definedName name="XXXXXXXX" hidden="1">#REF!</definedName>
    <definedName name="xxxxxxxxxx29" localSheetId="1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XXXX" localSheetId="10" hidden="1">#REF!</definedName>
    <definedName name="XXXXXXXXXXXXXXXX" hidden="1">#REF!</definedName>
    <definedName name="xxyzabc" localSheetId="10" hidden="1">{"via1",#N/A,TRUE,"general";"via2",#N/A,TRUE,"general";"via3",#N/A,TRUE,"general"}</definedName>
    <definedName name="xxyzabc" localSheetId="1" hidden="1">{"via1",#N/A,TRUE,"general";"via2",#N/A,TRUE,"general";"via3",#N/A,TRUE,"general"}</definedName>
    <definedName name="xxyzabc" localSheetId="0" hidden="1">{"via1",#N/A,TRUE,"general";"via2",#N/A,TRUE,"general";"via3",#N/A,TRUE,"general"}</definedName>
    <definedName name="xxyzabc" hidden="1">{"via1",#N/A,TRUE,"general";"via2",#N/A,TRUE,"general";"via3",#N/A,TRUE,"general"}</definedName>
    <definedName name="xyz" localSheetId="10" hidden="1">#REF!</definedName>
    <definedName name="xyz" hidden="1">#REF!</definedName>
    <definedName name="XZS" localSheetId="10" hidden="1">#REF!</definedName>
    <definedName name="XZS" hidden="1">#REF!</definedName>
    <definedName name="XZXZV" localSheetId="1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u" localSheetId="1" hidden="1">{#N/A,#N/A,TRUE,"A"}</definedName>
    <definedName name="yhu" localSheetId="0" hidden="1">{#N/A,#N/A,TRUE,"A"}</definedName>
    <definedName name="yhu" hidden="1">{#N/A,#N/A,TRUE,"A"}</definedName>
    <definedName name="yhy" localSheetId="1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#REF!,#REF!,#REF!,#REF!,#REF!,#REF!,#REF!,#REF!,#REF!,#REF!,#REF!,#REF!,#REF!,#REF!,#REF!,#REF!,#REF!,#REF!,#REF!</definedName>
    <definedName name="yrey" localSheetId="1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1" localSheetId="10" hidden="1">{"TAB1",#N/A,TRUE,"GENERAL";"TAB2",#N/A,TRUE,"GENERAL";"TAB3",#N/A,TRUE,"GENERAL";"TAB4",#N/A,TRUE,"GENERAL";"TAB5",#N/A,TRUE,"GENERAL"}</definedName>
    <definedName name="yty1" localSheetId="1" hidden="1">{"TAB1",#N/A,TRUE,"GENERAL";"TAB2",#N/A,TRUE,"GENERAL";"TAB3",#N/A,TRUE,"GENERAL";"TAB4",#N/A,TRUE,"GENERAL";"TAB5",#N/A,TRUE,"GENERAL"}</definedName>
    <definedName name="yty1" localSheetId="0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localSheetId="1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REFSF" localSheetId="10" hidden="1">{#N/A,#N/A,FALSE,"PERSONAL"}</definedName>
    <definedName name="YUTREFSF" localSheetId="1" hidden="1">{#N/A,#N/A,FALSE,"PERSONAL"}</definedName>
    <definedName name="YUTREFSF" localSheetId="0" hidden="1">{#N/A,#N/A,FALSE,"PERSONAL"}</definedName>
    <definedName name="YUTREFSF" hidden="1">{#N/A,#N/A,FALSE,"PERSONAL"}</definedName>
    <definedName name="yutu" localSheetId="1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10" hidden="1">{#N/A,#N/A,FALSE,"Costos Productos 6A";#N/A,#N/A,FALSE,"Costo Unitario Total H-94-12"}</definedName>
    <definedName name="yyyyy" localSheetId="1" hidden="1">{#N/A,#N/A,FALSE,"Costos Productos 6A";#N/A,#N/A,FALSE,"Costo Unitario Total H-94-12"}</definedName>
    <definedName name="yyyyy" localSheetId="0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localSheetId="1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localSheetId="10" hidden="1">#REF!</definedName>
    <definedName name="yyyyyy" hidden="1">#REF!</definedName>
    <definedName name="YYYYYYYYYYY" hidden="1">#REF!</definedName>
    <definedName name="ｚ" localSheetId="1" hidden="1">{"'下期集計（10.27迄・速報値）'!$Q$16"}</definedName>
    <definedName name="ｚ" localSheetId="0" hidden="1">{"'下期集計（10.27迄・速報値）'!$Q$16"}</definedName>
    <definedName name="ｚ" hidden="1">{"'下期集計（10.27迄・速報値）'!$Q$16"}</definedName>
    <definedName name="Z_086A872D_15DF_436A_8459_CE22F6819FF4_.wvu.Rows" hidden="1">#REF!</definedName>
    <definedName name="Z_18075DA6_CC33_11D2_B806_0000E85698D9_.wvu.Cols" localSheetId="10" hidden="1">#REF!,#REF!,#REF!,#REF!,#REF!,#REF!,#REF!</definedName>
    <definedName name="Z_18075DA6_CC33_11D2_B806_0000E85698D9_.wvu.Cols" hidden="1">#REF!,#REF!,#REF!,#REF!,#REF!,#REF!,#REF!</definedName>
    <definedName name="Z_18075DA6_CC33_11D2_B806_0000E85698D9_.wvu.PrintArea" localSheetId="10" hidden="1">#REF!</definedName>
    <definedName name="Z_18075DA6_CC33_11D2_B806_0000E85698D9_.wvu.PrintArea" hidden="1">#REF!</definedName>
    <definedName name="Z_18075DA6_CC33_11D2_B806_0000E85698D9_.wvu.PrintTitles" localSheetId="10" hidden="1">#REF!</definedName>
    <definedName name="Z_18075DA6_CC33_11D2_B806_0000E85698D9_.wvu.PrintTitles" hidden="1">#REF!</definedName>
    <definedName name="Z_18075DA6_CC33_11D2_B806_0000E85698D9_.wvu.Rows" localSheetId="10" hidden="1">#REF!</definedName>
    <definedName name="Z_18075DA6_CC33_11D2_B806_0000E85698D9_.wvu.Rows" hidden="1">#REF!</definedName>
    <definedName name="Z_4893CD87_CC58_11D2_B806_0000E85698D9_.wvu.Cols" localSheetId="10" hidden="1">#REF!,#REF!,#REF!,#REF!,#REF!,#REF!,#REF!</definedName>
    <definedName name="Z_4893CD87_CC58_11D2_B806_0000E85698D9_.wvu.Cols" hidden="1">#REF!,#REF!,#REF!,#REF!,#REF!,#REF!,#REF!</definedName>
    <definedName name="Z_4893CD87_CC58_11D2_B806_0000E85698D9_.wvu.PrintArea" localSheetId="10" hidden="1">#REF!</definedName>
    <definedName name="Z_4893CD87_CC58_11D2_B806_0000E85698D9_.wvu.PrintArea" hidden="1">#REF!</definedName>
    <definedName name="Z_4893CD87_CC58_11D2_B806_0000E85698D9_.wvu.PrintTitles" localSheetId="10" hidden="1">#REF!</definedName>
    <definedName name="Z_4893CD87_CC58_11D2_B806_0000E85698D9_.wvu.PrintTitles" hidden="1">#REF!</definedName>
    <definedName name="Z_4893CD87_CC58_11D2_B806_0000E85698D9_.wvu.Rows" localSheetId="10" hidden="1">#REF!,#REF!,#REF!,#REF!,#REF!,#REF!,#REF!,#REF!,#REF!,#REF!,#REF!,#REF!,#REF!,#REF!,#REF!,#REF!,#REF!,#REF!,#REF!,#REF!,#REF!,#REF!,#REF!,#REF!,#REF!,#REF!,#REF!,#REF!,#REF!,#REF!,#REF!,#REF!,#REF!,#REF!,#REF!,#REF!,#REF!,#REF!</definedName>
    <definedName name="Z_4893CD87_CC58_11D2_B806_0000E85698D9_.wvu.Rows" hidden="1">#REF!,#REF!,#REF!,#REF!,#REF!,#REF!,#REF!,#REF!,#REF!,#REF!,#REF!,#REF!,#REF!,#REF!,#REF!,#REF!,#REF!,#REF!,#REF!,#REF!,#REF!,#REF!,#REF!,#REF!,#REF!,#REF!,#REF!,#REF!,#REF!,#REF!,#REF!,#REF!,#REF!,#REF!,#REF!,#REF!,#REF!,#REF!</definedName>
    <definedName name="Z_D55C8B2E_861A_459E_9D09_3AF38A1DE99E_.wvu.Rows" hidden="1">#REF!</definedName>
    <definedName name="Z_F540D718_D9AA_403F_AE49_60D937FD77E5_.wvu.Rows" hidden="1">#REF!</definedName>
    <definedName name="ZAQ" localSheetId="1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ぁ" localSheetId="1" hidden="1">{"'下期集計（10.27迄・速報値）'!$Q$16"}</definedName>
    <definedName name="ぁ" localSheetId="0" hidden="1">{"'下期集計（10.27迄・速報値）'!$Q$16"}</definedName>
    <definedName name="ぁ" hidden="1">{"'下期集計（10.27迄・速報値）'!$Q$16"}</definedName>
    <definedName name="あ" localSheetId="1" hidden="1">{"'下期集計（10.27迄・速報値）'!$Q$16"}</definedName>
    <definedName name="あ" localSheetId="0" hidden="1">{"'下期集計（10.27迄・速報値）'!$Q$16"}</definedName>
    <definedName name="あ" hidden="1">{"'下期集計（10.27迄・速報値）'!$Q$16"}</definedName>
    <definedName name="あああ" localSheetId="1" hidden="1">{"'下期集計（10.27迄・速報値）'!$Q$16"}</definedName>
    <definedName name="あああ" localSheetId="0" hidden="1">{"'下期集計（10.27迄・速報値）'!$Q$16"}</definedName>
    <definedName name="あああ" hidden="1">{"'下期集計（10.27迄・速報値）'!$Q$16"}</definedName>
    <definedName name="ｼｰﾄ" hidden="1">#REF!</definedName>
    <definedName name="なんで" localSheetId="1" hidden="1">{"'下期集計（10.27迄・速報値）'!$Q$16"}</definedName>
    <definedName name="なんで" localSheetId="0" hidden="1">{"'下期集計（10.27迄・速報値）'!$Q$16"}</definedName>
    <definedName name="なんで" hidden="1">{"'下期集計（10.27迄・速報値）'!$Q$16"}</definedName>
    <definedName name="なんなの" localSheetId="1" hidden="1">{"'下期集計（10.27迄・速報値）'!$Q$16"}</definedName>
    <definedName name="なんなの" localSheetId="0" hidden="1">{"'下期集計（10.27迄・速報値）'!$Q$16"}</definedName>
    <definedName name="なんなの" hidden="1">{"'下期集計（10.27迄・速報値）'!$Q$16"}</definedName>
    <definedName name="一括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 localSheetId="0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0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年間収支買掛" localSheetId="1" hidden="1">{"'下期集計（10.27迄・速報値）'!$Q$16"}</definedName>
    <definedName name="年間収支買掛" localSheetId="0" hidden="1">{"'下期集計（10.27迄・速報値）'!$Q$16"}</definedName>
    <definedName name="年間収支買掛" hidden="1">{"'下期集計（10.27迄・速報値）'!$Q$16"}</definedName>
    <definedName name="年間資金収支あ" localSheetId="1" hidden="1">{"'下期集計（10.27迄・速報値）'!$Q$16"}</definedName>
    <definedName name="年間資金収支あ" localSheetId="0" hidden="1">{"'下期集計（10.27迄・速報値）'!$Q$16"}</definedName>
    <definedName name="年間資金収支あ" hidden="1">{"'下期集計（10.27迄・速報値）'!$Q$16"}</definedName>
    <definedName name="日繰06" localSheetId="1" hidden="1">{"'下期集計（10.27迄・速報値）'!$Q$16"}</definedName>
    <definedName name="日繰06" localSheetId="0" hidden="1">{"'下期集計（10.27迄・速報値）'!$Q$16"}</definedName>
    <definedName name="日繰06" hidden="1">{"'下期集計（10.27迄・速報値）'!$Q$16"}</definedName>
    <definedName name="系統出資金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 localSheetId="0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0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要処理資産②" localSheetId="1" hidden="1">{"'下期集計（10.27迄・速報値）'!$Q$16"}</definedName>
    <definedName name="要処理資産②" localSheetId="0" hidden="1">{"'下期集計（10.27迄・速報値）'!$Q$16"}</definedName>
    <definedName name="要処理資産②" hidden="1">{"'下期集計（10.27迄・速報値）'!$Q$16"}</definedName>
    <definedName name="評価対象" hidden="1">#REF!</definedName>
    <definedName name="資金" localSheetId="1" hidden="1">{"'下期集計（10.27迄・速報値）'!$Q$16"}</definedName>
    <definedName name="資金" localSheetId="0" hidden="1">{"'下期集計（10.27迄・速報値）'!$Q$16"}</definedName>
    <definedName name="資金" hidden="1">{"'下期集計（10.27迄・速報値）'!$Q$16"}</definedName>
    <definedName name="金利体系" localSheetId="1" hidden="1">{"'下期集計（10.27迄・速報値）'!$Q$16"}</definedName>
    <definedName name="金利体系" localSheetId="0" hidden="1">{"'下期集計（10.27迄・速報値）'!$Q$16"}</definedName>
    <definedName name="金利体系" hidden="1">{"'下期集計（10.27迄・速報値）'!$Q$16"}</definedName>
    <definedName name="関連" localSheetId="1" hidden="1">{"'下期集計（10.27迄・速報値）'!$Q$16"}</definedName>
    <definedName name="関連" localSheetId="0" hidden="1">{"'下期集計（10.27迄・速報値）'!$Q$16"}</definedName>
    <definedName name="関連" hidden="1">{"'下期集計（10.27迄・速報値）'!$Q$16"}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5" i="2" l="1"/>
  <c r="J144" i="2"/>
  <c r="J143" i="2"/>
  <c r="J142" i="2"/>
  <c r="J141" i="2"/>
  <c r="J140" i="2"/>
  <c r="J136" i="2"/>
  <c r="J137" i="2"/>
  <c r="J133" i="2"/>
  <c r="J132" i="2"/>
  <c r="J130" i="2" s="1"/>
  <c r="J128" i="2"/>
  <c r="J129" i="2"/>
  <c r="J124" i="2"/>
  <c r="B121" i="2"/>
  <c r="J125" i="2"/>
  <c r="E41" i="1"/>
  <c r="D41" i="1"/>
  <c r="D138" i="2" s="1"/>
  <c r="D139" i="2" s="1"/>
  <c r="E40" i="1"/>
  <c r="D40" i="1"/>
  <c r="D134" i="2" s="1"/>
  <c r="D135" i="2" s="1"/>
  <c r="E39" i="1"/>
  <c r="D39" i="1"/>
  <c r="D130" i="2" s="1"/>
  <c r="D131" i="2" s="1"/>
  <c r="E38" i="1"/>
  <c r="D38" i="1"/>
  <c r="D126" i="2" s="1"/>
  <c r="D127" i="2" s="1"/>
  <c r="E37" i="1"/>
  <c r="D37" i="1"/>
  <c r="D122" i="2" s="1"/>
  <c r="D123" i="2" s="1"/>
  <c r="C37" i="1"/>
  <c r="C38" i="1" s="1"/>
  <c r="C39" i="1" s="1"/>
  <c r="C40" i="1" s="1"/>
  <c r="C41" i="1" s="1"/>
  <c r="J119" i="2"/>
  <c r="J118" i="2"/>
  <c r="J114" i="2"/>
  <c r="J112" i="2"/>
  <c r="J107" i="2"/>
  <c r="J113" i="2"/>
  <c r="J108" i="2"/>
  <c r="B104" i="2"/>
  <c r="E35" i="1"/>
  <c r="D35" i="1"/>
  <c r="D116" i="2" s="1"/>
  <c r="D117" i="2" s="1"/>
  <c r="E34" i="1"/>
  <c r="D34" i="1"/>
  <c r="D110" i="2" s="1"/>
  <c r="D111" i="2" s="1"/>
  <c r="E33" i="1"/>
  <c r="D33" i="1"/>
  <c r="D105" i="2" s="1"/>
  <c r="D106" i="2" s="1"/>
  <c r="C33" i="1"/>
  <c r="C34" i="1" s="1"/>
  <c r="C35" i="1" s="1"/>
  <c r="E31" i="1"/>
  <c r="D31" i="1"/>
  <c r="E30" i="1"/>
  <c r="D30" i="1"/>
  <c r="E27" i="1"/>
  <c r="D27" i="1"/>
  <c r="E25" i="1"/>
  <c r="D25" i="1"/>
  <c r="E24" i="1"/>
  <c r="D24" i="1"/>
  <c r="E23" i="1"/>
  <c r="D23" i="1"/>
  <c r="E21" i="1"/>
  <c r="D21" i="1"/>
  <c r="E20" i="1"/>
  <c r="D20" i="1"/>
  <c r="E19" i="1"/>
  <c r="D19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8" i="1"/>
  <c r="D8" i="1"/>
  <c r="E7" i="1"/>
  <c r="D7" i="1"/>
  <c r="F3" i="129"/>
  <c r="J138" i="2" l="1"/>
  <c r="J134" i="2"/>
  <c r="J116" i="2"/>
  <c r="J126" i="2"/>
  <c r="J105" i="2"/>
  <c r="J122" i="2"/>
  <c r="J110" i="2"/>
  <c r="D10" i="129" l="1"/>
  <c r="D14" i="129"/>
  <c r="D15" i="129"/>
  <c r="D16" i="129"/>
  <c r="G8" i="1" s="1"/>
  <c r="J8" i="1" s="1"/>
  <c r="D13" i="129"/>
  <c r="D9" i="129"/>
  <c r="G7" i="1" s="1"/>
  <c r="J7" i="1" s="1"/>
  <c r="D56" i="129"/>
  <c r="G40" i="1" s="1"/>
  <c r="J40" i="1" s="1"/>
  <c r="D93" i="129" l="1"/>
  <c r="D41" i="129"/>
  <c r="D64" i="129" l="1"/>
  <c r="D66" i="129"/>
  <c r="G25" i="1" s="1"/>
  <c r="J25" i="1" s="1"/>
  <c r="D12" i="129"/>
  <c r="D106" i="129"/>
  <c r="D65" i="129"/>
  <c r="D77" i="129"/>
  <c r="G16" i="1" s="1"/>
  <c r="J16" i="1" s="1"/>
  <c r="D74" i="129"/>
  <c r="G13" i="1" s="1"/>
  <c r="J13" i="1" s="1"/>
  <c r="D89" i="129"/>
  <c r="G21" i="1" s="1"/>
  <c r="J21" i="1" s="1"/>
  <c r="D92" i="129"/>
  <c r="D37" i="129"/>
  <c r="D38" i="129"/>
  <c r="D107" i="129"/>
  <c r="D67" i="129"/>
  <c r="D33" i="129"/>
  <c r="D75" i="129"/>
  <c r="G14" i="1" s="1"/>
  <c r="J14" i="1" s="1"/>
  <c r="D86" i="129"/>
  <c r="G19" i="1" s="1"/>
  <c r="J19" i="1" s="1"/>
  <c r="D80" i="129"/>
  <c r="D28" i="129"/>
  <c r="D51" i="129"/>
  <c r="D40" i="129"/>
  <c r="G34" i="1" s="1"/>
  <c r="J34" i="1" s="1"/>
  <c r="D87" i="129"/>
  <c r="G20" i="1" s="1"/>
  <c r="J20" i="1" s="1"/>
  <c r="D27" i="129"/>
  <c r="G27" i="1" s="1"/>
  <c r="J27" i="1" s="1"/>
  <c r="D29" i="129"/>
  <c r="G35" i="1" s="1"/>
  <c r="J35" i="1" s="1"/>
  <c r="D32" i="129"/>
  <c r="D68" i="129"/>
  <c r="D39" i="129"/>
  <c r="G33" i="1" s="1"/>
  <c r="J33" i="1" s="1"/>
  <c r="D90" i="129"/>
  <c r="D88" i="129"/>
  <c r="D97" i="129"/>
  <c r="D79" i="129"/>
  <c r="D30" i="129"/>
  <c r="D31" i="129"/>
  <c r="D36" i="129"/>
  <c r="D63" i="129"/>
  <c r="G24" i="1" s="1"/>
  <c r="J24" i="1" s="1"/>
  <c r="D91" i="129"/>
  <c r="D11" i="129"/>
  <c r="D34" i="129"/>
  <c r="D35" i="129"/>
  <c r="D22" i="129" l="1"/>
  <c r="D3" i="129"/>
  <c r="D6" i="129"/>
  <c r="D4" i="129"/>
  <c r="G31" i="1" s="1"/>
  <c r="J31" i="1" s="1"/>
  <c r="D5" i="129"/>
  <c r="D7" i="129"/>
  <c r="G30" i="1" s="1"/>
  <c r="J30" i="1" s="1"/>
  <c r="D21" i="129"/>
  <c r="D8" i="129"/>
  <c r="D26" i="129" l="1"/>
  <c r="D23" i="129"/>
  <c r="D24" i="129"/>
  <c r="D25" i="129"/>
  <c r="D62" i="129" l="1"/>
  <c r="G23" i="1" s="1"/>
  <c r="J23" i="1" s="1"/>
  <c r="D45" i="129"/>
  <c r="G41" i="1" s="1"/>
  <c r="J41" i="1" s="1"/>
  <c r="D72" i="129" l="1"/>
  <c r="D78" i="129"/>
  <c r="G17" i="1" s="1"/>
  <c r="J17" i="1" s="1"/>
  <c r="D73" i="129"/>
  <c r="G12" i="1" s="1"/>
  <c r="J12" i="1" s="1"/>
  <c r="D76" i="129"/>
  <c r="G15" i="1" s="1"/>
  <c r="J15" i="1" s="1"/>
  <c r="D71" i="129" l="1"/>
  <c r="G11" i="1" s="1"/>
  <c r="J11" i="1" s="1"/>
  <c r="D70" i="129"/>
  <c r="G10" i="1" s="1"/>
  <c r="J10" i="1" s="1"/>
  <c r="D46" i="129"/>
  <c r="D82" i="129" l="1"/>
  <c r="D54" i="129"/>
  <c r="G38" i="1" s="1"/>
  <c r="J38" i="1" s="1"/>
  <c r="D50" i="129"/>
  <c r="D55" i="129"/>
  <c r="G39" i="1" s="1"/>
  <c r="J39" i="1" s="1"/>
  <c r="D49" i="129"/>
  <c r="D108" i="129"/>
  <c r="D81" i="129"/>
  <c r="D83" i="129"/>
  <c r="D53" i="129"/>
  <c r="G37" i="1" s="1"/>
  <c r="J37" i="1" s="1"/>
  <c r="D52" i="129"/>
  <c r="J42" i="1" l="1"/>
  <c r="D48" i="129"/>
  <c r="J102" i="2" l="1"/>
  <c r="J101" i="2"/>
  <c r="J99" i="2" s="1"/>
  <c r="D99" i="2"/>
  <c r="J97" i="2"/>
  <c r="J95" i="2" s="1"/>
  <c r="B94" i="2"/>
  <c r="B93" i="2"/>
  <c r="D95" i="2"/>
  <c r="D96" i="2" s="1"/>
  <c r="C30" i="1"/>
  <c r="C31" i="1" s="1"/>
  <c r="D100" i="2" l="1"/>
  <c r="D16" i="128" l="1"/>
  <c r="D100" i="128"/>
  <c r="D99" i="128"/>
  <c r="D98" i="128"/>
  <c r="D89" i="128"/>
  <c r="D85" i="128"/>
  <c r="D84" i="128"/>
  <c r="D83" i="128"/>
  <c r="D82" i="128"/>
  <c r="D81" i="128"/>
  <c r="D80" i="128"/>
  <c r="D79" i="128"/>
  <c r="D78" i="128"/>
  <c r="D75" i="128"/>
  <c r="D74" i="128"/>
  <c r="D73" i="128"/>
  <c r="D72" i="128"/>
  <c r="D71" i="128"/>
  <c r="D70" i="128"/>
  <c r="D69" i="128"/>
  <c r="D68" i="128"/>
  <c r="D67" i="128"/>
  <c r="D66" i="128"/>
  <c r="D65" i="128"/>
  <c r="D64" i="128"/>
  <c r="D63" i="128"/>
  <c r="D62" i="128"/>
  <c r="D60" i="128"/>
  <c r="D59" i="128"/>
  <c r="D58" i="128"/>
  <c r="D57" i="128"/>
  <c r="D56" i="128"/>
  <c r="D55" i="128"/>
  <c r="D54" i="128"/>
  <c r="D49" i="128"/>
  <c r="D48" i="128"/>
  <c r="D47" i="128"/>
  <c r="D46" i="128"/>
  <c r="D44" i="128"/>
  <c r="D43" i="128"/>
  <c r="D37" i="128"/>
  <c r="D36" i="128"/>
  <c r="D35" i="128"/>
  <c r="D34" i="128"/>
  <c r="D33" i="128"/>
  <c r="D32" i="128"/>
  <c r="D31" i="128"/>
  <c r="D30" i="128"/>
  <c r="D29" i="128"/>
  <c r="D28" i="128"/>
  <c r="D27" i="128"/>
  <c r="D26" i="128"/>
  <c r="D25" i="128"/>
  <c r="D24" i="128"/>
  <c r="D23" i="128"/>
  <c r="D22" i="128"/>
  <c r="D21" i="128"/>
  <c r="D15" i="128"/>
  <c r="D14" i="128"/>
  <c r="D13" i="128"/>
  <c r="D12" i="128"/>
  <c r="D11" i="128"/>
  <c r="D10" i="128"/>
  <c r="D9" i="128"/>
  <c r="D8" i="128"/>
  <c r="D7" i="128"/>
  <c r="D6" i="128"/>
  <c r="D5" i="128"/>
  <c r="D4" i="128"/>
  <c r="F3" i="128"/>
  <c r="D3" i="128"/>
  <c r="J13" i="2"/>
  <c r="D11" i="2"/>
  <c r="J14" i="2"/>
  <c r="J11" i="2" l="1"/>
  <c r="E35" i="120"/>
  <c r="G35" i="120"/>
  <c r="F28" i="120"/>
  <c r="F27" i="120"/>
  <c r="G28" i="120"/>
  <c r="G27" i="120"/>
  <c r="E15" i="120"/>
  <c r="E16" i="120"/>
  <c r="G27" i="125"/>
  <c r="G28" i="125"/>
  <c r="F27" i="125"/>
  <c r="F28" i="125"/>
  <c r="E35" i="125"/>
  <c r="G35" i="125"/>
  <c r="D35" i="122"/>
  <c r="E35" i="122"/>
  <c r="G35" i="122"/>
  <c r="G27" i="122"/>
  <c r="F27" i="122"/>
  <c r="E17" i="122"/>
  <c r="E16" i="122"/>
  <c r="E15" i="122"/>
  <c r="F9" i="122"/>
  <c r="B6" i="122"/>
  <c r="F9" i="124"/>
  <c r="B6" i="124"/>
  <c r="E16" i="125" l="1"/>
  <c r="E15" i="125"/>
  <c r="F9" i="125"/>
  <c r="B6" i="125"/>
  <c r="B6" i="126"/>
  <c r="F9" i="126"/>
  <c r="E16" i="126"/>
  <c r="E15" i="126"/>
  <c r="G28" i="126"/>
  <c r="F28" i="126"/>
  <c r="G27" i="126"/>
  <c r="F27" i="126"/>
  <c r="G35" i="126"/>
  <c r="E35" i="126"/>
  <c r="D35" i="126"/>
  <c r="B30" i="73"/>
  <c r="H34" i="73"/>
  <c r="H33" i="73"/>
  <c r="A36" i="73"/>
  <c r="H36" i="73"/>
  <c r="A35" i="73"/>
  <c r="B35" i="73" s="1"/>
  <c r="H35" i="73"/>
  <c r="A34" i="73"/>
  <c r="C34" i="73" s="1"/>
  <c r="A33" i="73"/>
  <c r="C33" i="73" s="1"/>
  <c r="A32" i="73"/>
  <c r="C32" i="73" s="1"/>
  <c r="A31" i="73"/>
  <c r="B31" i="73" s="1"/>
  <c r="A30" i="73"/>
  <c r="C30" i="73" s="1"/>
  <c r="A29" i="73"/>
  <c r="C29" i="73" s="1"/>
  <c r="A28" i="73"/>
  <c r="C28" i="73" s="1"/>
  <c r="A27" i="73"/>
  <c r="C27" i="73" s="1"/>
  <c r="G35" i="127"/>
  <c r="E35" i="127"/>
  <c r="F27" i="127"/>
  <c r="G27" i="127"/>
  <c r="H27" i="127" s="1"/>
  <c r="E18" i="127"/>
  <c r="E17" i="127"/>
  <c r="E16" i="127"/>
  <c r="E15" i="127"/>
  <c r="B6" i="127"/>
  <c r="E16" i="117"/>
  <c r="E15" i="117"/>
  <c r="D35" i="118"/>
  <c r="D35" i="119"/>
  <c r="E35" i="119"/>
  <c r="G35" i="119"/>
  <c r="G27" i="119"/>
  <c r="H45" i="127"/>
  <c r="D44" i="127"/>
  <c r="F44" i="127" s="1"/>
  <c r="D43" i="127"/>
  <c r="F43" i="127" s="1"/>
  <c r="F35" i="127"/>
  <c r="D35" i="127"/>
  <c r="H28" i="127"/>
  <c r="G21" i="127"/>
  <c r="H21" i="127" s="1"/>
  <c r="E21" i="127"/>
  <c r="G20" i="127"/>
  <c r="H20" i="127" s="1"/>
  <c r="E20" i="127"/>
  <c r="G19" i="127"/>
  <c r="H19" i="127" s="1"/>
  <c r="E19" i="127"/>
  <c r="F9" i="127"/>
  <c r="H45" i="126"/>
  <c r="H28" i="126"/>
  <c r="H27" i="126"/>
  <c r="G21" i="126"/>
  <c r="H21" i="126" s="1"/>
  <c r="E21" i="126"/>
  <c r="G20" i="126"/>
  <c r="H20" i="126" s="1"/>
  <c r="E20" i="126"/>
  <c r="G19" i="126"/>
  <c r="H19" i="126" s="1"/>
  <c r="E19" i="126"/>
  <c r="G18" i="126"/>
  <c r="H18" i="126" s="1"/>
  <c r="E18" i="126"/>
  <c r="G17" i="126"/>
  <c r="H17" i="126" s="1"/>
  <c r="E17" i="126"/>
  <c r="F15" i="126"/>
  <c r="H45" i="125"/>
  <c r="D44" i="125"/>
  <c r="F44" i="125" s="1"/>
  <c r="D43" i="125"/>
  <c r="F43" i="125" s="1"/>
  <c r="D35" i="125"/>
  <c r="H35" i="125" s="1"/>
  <c r="H39" i="125" s="1"/>
  <c r="H28" i="125"/>
  <c r="H27" i="125"/>
  <c r="G21" i="125"/>
  <c r="H21" i="125" s="1"/>
  <c r="E21" i="125"/>
  <c r="G20" i="125"/>
  <c r="H20" i="125" s="1"/>
  <c r="E20" i="125"/>
  <c r="G19" i="125"/>
  <c r="H19" i="125" s="1"/>
  <c r="E19" i="125"/>
  <c r="G18" i="125"/>
  <c r="H18" i="125" s="1"/>
  <c r="E18" i="125"/>
  <c r="G17" i="125"/>
  <c r="H17" i="125" s="1"/>
  <c r="E17" i="125"/>
  <c r="F15" i="125"/>
  <c r="H45" i="124"/>
  <c r="D44" i="124"/>
  <c r="F44" i="124" s="1"/>
  <c r="D43" i="124"/>
  <c r="F43" i="124" s="1"/>
  <c r="G35" i="124"/>
  <c r="E35" i="124"/>
  <c r="D35" i="124"/>
  <c r="G28" i="124"/>
  <c r="F28" i="124"/>
  <c r="G27" i="124"/>
  <c r="F27" i="124"/>
  <c r="G21" i="124"/>
  <c r="H21" i="124" s="1"/>
  <c r="E21" i="124"/>
  <c r="G20" i="124"/>
  <c r="H20" i="124" s="1"/>
  <c r="E20" i="124"/>
  <c r="G19" i="124"/>
  <c r="H19" i="124" s="1"/>
  <c r="E19" i="124"/>
  <c r="G18" i="124"/>
  <c r="H18" i="124" s="1"/>
  <c r="E18" i="124"/>
  <c r="G17" i="124"/>
  <c r="H17" i="124" s="1"/>
  <c r="E17" i="124"/>
  <c r="E16" i="124"/>
  <c r="F15" i="124"/>
  <c r="E15" i="124"/>
  <c r="H45" i="123"/>
  <c r="D44" i="123"/>
  <c r="F44" i="123" s="1"/>
  <c r="D43" i="123"/>
  <c r="F43" i="123" s="1"/>
  <c r="G35" i="123"/>
  <c r="E35" i="123"/>
  <c r="D35" i="123"/>
  <c r="G28" i="123"/>
  <c r="F28" i="123"/>
  <c r="G27" i="123"/>
  <c r="F27" i="123"/>
  <c r="G21" i="123"/>
  <c r="H21" i="123" s="1"/>
  <c r="E21" i="123"/>
  <c r="G20" i="123"/>
  <c r="H20" i="123" s="1"/>
  <c r="E20" i="123"/>
  <c r="G19" i="123"/>
  <c r="H19" i="123" s="1"/>
  <c r="E19" i="123"/>
  <c r="G18" i="123"/>
  <c r="H18" i="123" s="1"/>
  <c r="E18" i="123"/>
  <c r="G17" i="123"/>
  <c r="H17" i="123" s="1"/>
  <c r="E17" i="123"/>
  <c r="G16" i="123"/>
  <c r="H16" i="123" s="1"/>
  <c r="E16" i="123"/>
  <c r="G15" i="123"/>
  <c r="H15" i="123" s="1"/>
  <c r="E15" i="123"/>
  <c r="F9" i="123"/>
  <c r="B6" i="123"/>
  <c r="H45" i="122"/>
  <c r="D44" i="122"/>
  <c r="F44" i="122" s="1"/>
  <c r="D43" i="122"/>
  <c r="F43" i="122" s="1"/>
  <c r="F35" i="122"/>
  <c r="H35" i="122" s="1"/>
  <c r="H39" i="122" s="1"/>
  <c r="G28" i="122"/>
  <c r="F28" i="122"/>
  <c r="H27" i="122"/>
  <c r="G21" i="122"/>
  <c r="H21" i="122" s="1"/>
  <c r="E21" i="122"/>
  <c r="G20" i="122"/>
  <c r="H20" i="122" s="1"/>
  <c r="E20" i="122"/>
  <c r="G19" i="122"/>
  <c r="H19" i="122" s="1"/>
  <c r="E19" i="122"/>
  <c r="G18" i="122"/>
  <c r="H18" i="122" s="1"/>
  <c r="E18" i="122"/>
  <c r="H45" i="121"/>
  <c r="D44" i="121"/>
  <c r="F44" i="121" s="1"/>
  <c r="D43" i="121"/>
  <c r="F43" i="121" s="1"/>
  <c r="G35" i="121"/>
  <c r="F35" i="121"/>
  <c r="E35" i="121"/>
  <c r="D35" i="121"/>
  <c r="G28" i="121"/>
  <c r="F28" i="121"/>
  <c r="G27" i="121"/>
  <c r="F27" i="121"/>
  <c r="G21" i="121"/>
  <c r="H21" i="121" s="1"/>
  <c r="E21" i="121"/>
  <c r="G20" i="121"/>
  <c r="H20" i="121" s="1"/>
  <c r="E20" i="121"/>
  <c r="G19" i="121"/>
  <c r="H19" i="121" s="1"/>
  <c r="E19" i="121"/>
  <c r="G18" i="121"/>
  <c r="H18" i="121" s="1"/>
  <c r="E18" i="121"/>
  <c r="G17" i="121"/>
  <c r="H17" i="121" s="1"/>
  <c r="E17" i="121"/>
  <c r="G16" i="121"/>
  <c r="H16" i="121" s="1"/>
  <c r="E16" i="121"/>
  <c r="G15" i="121"/>
  <c r="H15" i="121" s="1"/>
  <c r="E15" i="121"/>
  <c r="F9" i="121"/>
  <c r="B6" i="121"/>
  <c r="H45" i="120"/>
  <c r="D35" i="120"/>
  <c r="H35" i="120" s="1"/>
  <c r="H39" i="120" s="1"/>
  <c r="H28" i="120"/>
  <c r="H27" i="120"/>
  <c r="G21" i="120"/>
  <c r="H21" i="120" s="1"/>
  <c r="E21" i="120"/>
  <c r="G20" i="120"/>
  <c r="H20" i="120" s="1"/>
  <c r="E20" i="120"/>
  <c r="G19" i="120"/>
  <c r="H19" i="120" s="1"/>
  <c r="E19" i="120"/>
  <c r="G18" i="120"/>
  <c r="H18" i="120" s="1"/>
  <c r="E18" i="120"/>
  <c r="G17" i="120"/>
  <c r="H17" i="120" s="1"/>
  <c r="E17" i="120"/>
  <c r="F9" i="120"/>
  <c r="B6" i="120"/>
  <c r="D35" i="114"/>
  <c r="E35" i="114"/>
  <c r="G35" i="114"/>
  <c r="E27" i="114"/>
  <c r="F27" i="114"/>
  <c r="G27" i="114"/>
  <c r="E16" i="114"/>
  <c r="E15" i="114"/>
  <c r="G16" i="114"/>
  <c r="H16" i="114" s="1"/>
  <c r="G15" i="114"/>
  <c r="H15" i="114" s="1"/>
  <c r="D35" i="115"/>
  <c r="G35" i="115"/>
  <c r="E35" i="115"/>
  <c r="D35" i="116"/>
  <c r="E35" i="116"/>
  <c r="G35" i="116"/>
  <c r="G27" i="115"/>
  <c r="H27" i="115" s="1"/>
  <c r="F27" i="115"/>
  <c r="E27" i="115"/>
  <c r="E15" i="115"/>
  <c r="E16" i="116"/>
  <c r="E15" i="116"/>
  <c r="G16" i="116"/>
  <c r="H16" i="116" s="1"/>
  <c r="G15" i="116"/>
  <c r="H15" i="116" s="1"/>
  <c r="F9" i="115"/>
  <c r="B6" i="115"/>
  <c r="F9" i="116"/>
  <c r="G27" i="116"/>
  <c r="F27" i="116"/>
  <c r="E27" i="116"/>
  <c r="G28" i="117"/>
  <c r="H28" i="117" s="1"/>
  <c r="F28" i="117"/>
  <c r="E28" i="117"/>
  <c r="G27" i="117"/>
  <c r="F27" i="117"/>
  <c r="H27" i="117" s="1"/>
  <c r="E27" i="117"/>
  <c r="E28" i="118"/>
  <c r="E27" i="118"/>
  <c r="G35" i="117"/>
  <c r="F9" i="117"/>
  <c r="B6" i="117"/>
  <c r="B6" i="118"/>
  <c r="G16" i="117"/>
  <c r="H16" i="117" s="1"/>
  <c r="G15" i="117"/>
  <c r="G20" i="113"/>
  <c r="E20" i="113"/>
  <c r="G19" i="113"/>
  <c r="E19" i="113"/>
  <c r="G18" i="113"/>
  <c r="E18" i="113"/>
  <c r="E17" i="113"/>
  <c r="E16" i="113"/>
  <c r="E15" i="113"/>
  <c r="E16" i="112"/>
  <c r="G21" i="112"/>
  <c r="E21" i="112"/>
  <c r="E20" i="112"/>
  <c r="E19" i="112"/>
  <c r="G18" i="112"/>
  <c r="E18" i="112"/>
  <c r="E17" i="112"/>
  <c r="E15" i="112"/>
  <c r="E21" i="111"/>
  <c r="G20" i="112"/>
  <c r="G16" i="112"/>
  <c r="E20" i="111"/>
  <c r="E19" i="111"/>
  <c r="E18" i="111"/>
  <c r="E17" i="111"/>
  <c r="E16" i="111"/>
  <c r="E15" i="111"/>
  <c r="G20" i="110"/>
  <c r="E20" i="110"/>
  <c r="G19" i="110"/>
  <c r="E19" i="110"/>
  <c r="G18" i="110"/>
  <c r="E18" i="110"/>
  <c r="G17" i="110"/>
  <c r="E17" i="110"/>
  <c r="E16" i="110"/>
  <c r="E15" i="110"/>
  <c r="E20" i="109"/>
  <c r="E19" i="109"/>
  <c r="E18" i="109"/>
  <c r="E17" i="109"/>
  <c r="E16" i="109"/>
  <c r="E15" i="109"/>
  <c r="G20" i="109"/>
  <c r="E20" i="108"/>
  <c r="E19" i="108"/>
  <c r="E18" i="108"/>
  <c r="E17" i="108"/>
  <c r="E16" i="108"/>
  <c r="E15" i="108"/>
  <c r="G19" i="112"/>
  <c r="G20" i="107"/>
  <c r="E20" i="107"/>
  <c r="G19" i="107"/>
  <c r="E19" i="107"/>
  <c r="E18" i="107"/>
  <c r="E17" i="107"/>
  <c r="E16" i="107"/>
  <c r="E15" i="107"/>
  <c r="G18" i="106"/>
  <c r="E18" i="106"/>
  <c r="G17" i="106"/>
  <c r="E17" i="106"/>
  <c r="E16" i="106"/>
  <c r="E15" i="106"/>
  <c r="G20" i="106"/>
  <c r="E20" i="106"/>
  <c r="G19" i="106"/>
  <c r="E19" i="106"/>
  <c r="G20" i="105"/>
  <c r="E20" i="105"/>
  <c r="G19" i="105"/>
  <c r="E19" i="105"/>
  <c r="E18" i="105"/>
  <c r="E17" i="105"/>
  <c r="E16" i="105"/>
  <c r="E15" i="105"/>
  <c r="G15" i="104"/>
  <c r="E15" i="104"/>
  <c r="G20" i="104"/>
  <c r="E20" i="104"/>
  <c r="G19" i="104"/>
  <c r="E19" i="104"/>
  <c r="G18" i="104"/>
  <c r="E18" i="104"/>
  <c r="G17" i="104"/>
  <c r="E17" i="104"/>
  <c r="E16" i="104"/>
  <c r="G16" i="104"/>
  <c r="G20" i="103"/>
  <c r="E20" i="103"/>
  <c r="G19" i="103"/>
  <c r="E19" i="103"/>
  <c r="G18" i="103"/>
  <c r="E18" i="103"/>
  <c r="G17" i="103"/>
  <c r="E17" i="103"/>
  <c r="E16" i="103"/>
  <c r="E15" i="103"/>
  <c r="G20" i="102"/>
  <c r="E20" i="102"/>
  <c r="G19" i="102"/>
  <c r="E19" i="102"/>
  <c r="G18" i="102"/>
  <c r="E18" i="102"/>
  <c r="G17" i="102"/>
  <c r="E17" i="102"/>
  <c r="G16" i="102"/>
  <c r="E16" i="102"/>
  <c r="E16" i="101"/>
  <c r="G20" i="101"/>
  <c r="E20" i="101"/>
  <c r="G19" i="101"/>
  <c r="E19" i="101"/>
  <c r="G18" i="101"/>
  <c r="E18" i="101"/>
  <c r="G17" i="101"/>
  <c r="E17" i="101"/>
  <c r="E15" i="101"/>
  <c r="G20" i="100"/>
  <c r="E20" i="100"/>
  <c r="G19" i="100"/>
  <c r="E19" i="100"/>
  <c r="G18" i="100"/>
  <c r="E18" i="100"/>
  <c r="G17" i="100"/>
  <c r="E17" i="100"/>
  <c r="G16" i="100"/>
  <c r="E16" i="100"/>
  <c r="E15" i="100"/>
  <c r="G20" i="99"/>
  <c r="E20" i="99"/>
  <c r="E19" i="99"/>
  <c r="E18" i="99"/>
  <c r="E17" i="99"/>
  <c r="E15" i="99"/>
  <c r="G20" i="98"/>
  <c r="E20" i="98"/>
  <c r="G19" i="98"/>
  <c r="E19" i="98"/>
  <c r="G18" i="98"/>
  <c r="E18" i="98"/>
  <c r="E17" i="98"/>
  <c r="E16" i="98"/>
  <c r="E15" i="98"/>
  <c r="G20" i="97"/>
  <c r="E20" i="97"/>
  <c r="G19" i="97"/>
  <c r="E19" i="97"/>
  <c r="E18" i="97"/>
  <c r="E17" i="97"/>
  <c r="E15" i="97"/>
  <c r="G18" i="97"/>
  <c r="G20" i="96"/>
  <c r="E20" i="96"/>
  <c r="E19" i="96"/>
  <c r="E18" i="96"/>
  <c r="E16" i="96"/>
  <c r="E15" i="96"/>
  <c r="G20" i="95"/>
  <c r="E20" i="95"/>
  <c r="E17" i="95"/>
  <c r="G20" i="94"/>
  <c r="E20" i="94"/>
  <c r="E17" i="94"/>
  <c r="G18" i="92"/>
  <c r="E18" i="92"/>
  <c r="G20" i="92"/>
  <c r="E20" i="92"/>
  <c r="E17" i="92"/>
  <c r="E16" i="92"/>
  <c r="E15" i="92"/>
  <c r="G17" i="112"/>
  <c r="G20" i="91"/>
  <c r="E20" i="91"/>
  <c r="G19" i="91"/>
  <c r="E19" i="91"/>
  <c r="E18" i="91"/>
  <c r="E17" i="91"/>
  <c r="E16" i="91"/>
  <c r="E15" i="91"/>
  <c r="E17" i="89"/>
  <c r="G20" i="89"/>
  <c r="E20" i="89"/>
  <c r="G19" i="89"/>
  <c r="E19" i="89"/>
  <c r="G18" i="89"/>
  <c r="E18" i="89"/>
  <c r="G17" i="89"/>
  <c r="E16" i="89"/>
  <c r="E15" i="89"/>
  <c r="E18" i="88"/>
  <c r="G20" i="88"/>
  <c r="E20" i="88"/>
  <c r="E17" i="88"/>
  <c r="E15" i="88"/>
  <c r="E18" i="87"/>
  <c r="E17" i="87"/>
  <c r="E16" i="87"/>
  <c r="E15" i="87"/>
  <c r="E18" i="86"/>
  <c r="E17" i="86"/>
  <c r="E16" i="86"/>
  <c r="E15" i="86"/>
  <c r="G18" i="85"/>
  <c r="E18" i="85"/>
  <c r="E17" i="85"/>
  <c r="E16" i="85"/>
  <c r="E15" i="85"/>
  <c r="G18" i="107"/>
  <c r="G18" i="84"/>
  <c r="E18" i="84"/>
  <c r="E17" i="84"/>
  <c r="E16" i="84"/>
  <c r="E15" i="84"/>
  <c r="G18" i="83"/>
  <c r="E18" i="83"/>
  <c r="E17" i="83"/>
  <c r="E16" i="83"/>
  <c r="E15" i="83"/>
  <c r="G18" i="87"/>
  <c r="E17" i="96"/>
  <c r="E19" i="94"/>
  <c r="E18" i="95"/>
  <c r="E15" i="94"/>
  <c r="E15" i="102"/>
  <c r="E15" i="95"/>
  <c r="E18" i="94"/>
  <c r="E16" i="95"/>
  <c r="E16" i="88"/>
  <c r="E19" i="88"/>
  <c r="E16" i="97"/>
  <c r="E16" i="94"/>
  <c r="E16" i="99"/>
  <c r="E19" i="95"/>
  <c r="F106" i="46"/>
  <c r="F105" i="46"/>
  <c r="F104" i="46"/>
  <c r="G17" i="105" s="1"/>
  <c r="F103" i="46"/>
  <c r="F102" i="46"/>
  <c r="G17" i="91" s="1"/>
  <c r="F101" i="46"/>
  <c r="F100" i="46"/>
  <c r="G15" i="105" s="1"/>
  <c r="F99" i="46"/>
  <c r="F98" i="46"/>
  <c r="F97" i="46"/>
  <c r="F96" i="46"/>
  <c r="G18" i="91" s="1"/>
  <c r="F95" i="46"/>
  <c r="G16" i="99" s="1"/>
  <c r="F94" i="46"/>
  <c r="G16" i="106" s="1"/>
  <c r="F93" i="46"/>
  <c r="G16" i="107" s="1"/>
  <c r="F92" i="46"/>
  <c r="G15" i="106" s="1"/>
  <c r="F91" i="46"/>
  <c r="G15" i="103" s="1"/>
  <c r="F90" i="46"/>
  <c r="G19" i="88" s="1"/>
  <c r="F89" i="46"/>
  <c r="F88" i="46"/>
  <c r="F87" i="46"/>
  <c r="G16" i="98" s="1"/>
  <c r="F86" i="46"/>
  <c r="G17" i="113" s="1"/>
  <c r="F85" i="46"/>
  <c r="F84" i="46"/>
  <c r="F83" i="46"/>
  <c r="F82" i="46"/>
  <c r="F81" i="46"/>
  <c r="G16" i="120" s="1"/>
  <c r="H16" i="120" s="1"/>
  <c r="F80" i="46"/>
  <c r="G15" i="120" s="1"/>
  <c r="H15" i="120" s="1"/>
  <c r="F79" i="46"/>
  <c r="G15" i="95" s="1"/>
  <c r="F78" i="46"/>
  <c r="G15" i="94" s="1"/>
  <c r="F77" i="46"/>
  <c r="G17" i="122" s="1"/>
  <c r="H17" i="122" s="1"/>
  <c r="F76" i="46"/>
  <c r="G15" i="122" s="1"/>
  <c r="H15" i="122" s="1"/>
  <c r="F75" i="46"/>
  <c r="F74" i="46"/>
  <c r="F73" i="46"/>
  <c r="G15" i="115" s="1"/>
  <c r="H15" i="115" s="1"/>
  <c r="F72" i="46"/>
  <c r="G20" i="111" s="1"/>
  <c r="F71" i="46"/>
  <c r="G16" i="119" s="1"/>
  <c r="H16" i="119" s="1"/>
  <c r="F70" i="46"/>
  <c r="F69" i="46"/>
  <c r="F68" i="46"/>
  <c r="G19" i="108" s="1"/>
  <c r="F67" i="46"/>
  <c r="G15" i="126" s="1"/>
  <c r="H15" i="126" s="1"/>
  <c r="F66" i="46"/>
  <c r="G15" i="85" s="1"/>
  <c r="F65" i="46"/>
  <c r="G16" i="122" s="1"/>
  <c r="H16" i="122" s="1"/>
  <c r="F64" i="46"/>
  <c r="F63" i="46"/>
  <c r="G19" i="94" s="1"/>
  <c r="F62" i="46"/>
  <c r="F61" i="46"/>
  <c r="G15" i="101" s="1"/>
  <c r="F60" i="46"/>
  <c r="G15" i="97" s="1"/>
  <c r="F59" i="46"/>
  <c r="G18" i="96" s="1"/>
  <c r="F58" i="46"/>
  <c r="G15" i="119" s="1"/>
  <c r="H15" i="119" s="1"/>
  <c r="F57" i="46"/>
  <c r="F56" i="46"/>
  <c r="F55" i="46"/>
  <c r="G15" i="96" s="1"/>
  <c r="F54" i="46"/>
  <c r="G19" i="109" s="1"/>
  <c r="F53" i="46"/>
  <c r="G18" i="108" s="1"/>
  <c r="F52" i="46"/>
  <c r="G15" i="113" s="1"/>
  <c r="F51" i="46"/>
  <c r="G18" i="94" s="1"/>
  <c r="F50" i="46"/>
  <c r="F49" i="46"/>
  <c r="G15" i="110" s="1"/>
  <c r="F48" i="46"/>
  <c r="G16" i="125" s="1"/>
  <c r="H16" i="125" s="1"/>
  <c r="F47" i="46"/>
  <c r="G15" i="125" s="1"/>
  <c r="F46" i="46"/>
  <c r="G17" i="92" s="1"/>
  <c r="F45" i="46"/>
  <c r="F44" i="46"/>
  <c r="F43" i="46"/>
  <c r="F42" i="46"/>
  <c r="G15" i="98" s="1"/>
  <c r="F41" i="46"/>
  <c r="G16" i="91" s="1"/>
  <c r="F40" i="46"/>
  <c r="C39" i="46"/>
  <c r="F39" i="46" s="1"/>
  <c r="F38" i="46"/>
  <c r="F37" i="46"/>
  <c r="G16" i="105" s="1"/>
  <c r="F36" i="46"/>
  <c r="F35" i="46"/>
  <c r="F34" i="46"/>
  <c r="G17" i="98" s="1"/>
  <c r="F33" i="46"/>
  <c r="G17" i="107" s="1"/>
  <c r="F32" i="46"/>
  <c r="G15" i="112" s="1"/>
  <c r="F31" i="46"/>
  <c r="G16" i="111" s="1"/>
  <c r="F30" i="46"/>
  <c r="F29" i="46"/>
  <c r="G15" i="127" s="1"/>
  <c r="H15" i="127" s="1"/>
  <c r="F28" i="46"/>
  <c r="F27" i="46"/>
  <c r="F26" i="46"/>
  <c r="G17" i="83" s="1"/>
  <c r="F25" i="46"/>
  <c r="F24" i="46"/>
  <c r="G15" i="111" s="1"/>
  <c r="F23" i="46"/>
  <c r="G16" i="109" s="1"/>
  <c r="F22" i="46"/>
  <c r="G21" i="111" s="1"/>
  <c r="F21" i="46"/>
  <c r="G17" i="111" s="1"/>
  <c r="F20" i="46"/>
  <c r="G18" i="111" s="1"/>
  <c r="F19" i="46"/>
  <c r="G16" i="92" s="1"/>
  <c r="F18" i="46"/>
  <c r="G16" i="94" s="1"/>
  <c r="F17" i="46"/>
  <c r="G17" i="95" s="1"/>
  <c r="F16" i="46"/>
  <c r="G20" i="108" s="1"/>
  <c r="F15" i="46"/>
  <c r="G15" i="86" s="1"/>
  <c r="F14" i="46"/>
  <c r="F13" i="46"/>
  <c r="F12" i="46"/>
  <c r="G18" i="127" s="1"/>
  <c r="H18" i="127" s="1"/>
  <c r="F11" i="46"/>
  <c r="G19" i="99" s="1"/>
  <c r="F10" i="46"/>
  <c r="G15" i="87" s="1"/>
  <c r="F9" i="46"/>
  <c r="G16" i="89" s="1"/>
  <c r="F8" i="46"/>
  <c r="G18" i="88" s="1"/>
  <c r="F7" i="46"/>
  <c r="G15" i="100" s="1"/>
  <c r="F6" i="46"/>
  <c r="G15" i="83" s="1"/>
  <c r="F5" i="46"/>
  <c r="G15" i="84" s="1"/>
  <c r="F4" i="46"/>
  <c r="F3" i="46"/>
  <c r="G15" i="89" s="1"/>
  <c r="F2" i="46"/>
  <c r="G18" i="105" s="1"/>
  <c r="F27" i="118"/>
  <c r="F28" i="118"/>
  <c r="G28" i="118"/>
  <c r="G27" i="118"/>
  <c r="E35" i="118"/>
  <c r="G35" i="118"/>
  <c r="E35" i="117"/>
  <c r="D35" i="117"/>
  <c r="F9" i="118"/>
  <c r="G16" i="118"/>
  <c r="H16" i="118" s="1"/>
  <c r="G15" i="118"/>
  <c r="H15" i="118" s="1"/>
  <c r="F27" i="119"/>
  <c r="H27" i="119" s="1"/>
  <c r="H31" i="119" s="1"/>
  <c r="E16" i="119"/>
  <c r="E15" i="119"/>
  <c r="F9" i="119"/>
  <c r="B6" i="119"/>
  <c r="H45" i="119"/>
  <c r="H45" i="118"/>
  <c r="E16" i="118"/>
  <c r="E15" i="118"/>
  <c r="H45" i="117"/>
  <c r="H15" i="117"/>
  <c r="H45" i="116"/>
  <c r="H28" i="116"/>
  <c r="B6" i="116"/>
  <c r="H45" i="115"/>
  <c r="G28" i="115"/>
  <c r="F28" i="115"/>
  <c r="E28" i="115"/>
  <c r="H16" i="115"/>
  <c r="H45" i="114"/>
  <c r="H28" i="114"/>
  <c r="H27" i="114"/>
  <c r="F9" i="114"/>
  <c r="B6" i="114"/>
  <c r="H14" i="73"/>
  <c r="H12" i="73"/>
  <c r="H11" i="73"/>
  <c r="A12" i="73"/>
  <c r="C12" i="73" s="1"/>
  <c r="A13" i="73"/>
  <c r="C13" i="73" s="1"/>
  <c r="A14" i="73"/>
  <c r="C14" i="73" s="1"/>
  <c r="A15" i="73"/>
  <c r="B15" i="73" s="1"/>
  <c r="A16" i="73"/>
  <c r="C16" i="73" s="1"/>
  <c r="A17" i="73"/>
  <c r="A18" i="73"/>
  <c r="A19" i="73"/>
  <c r="A20" i="73"/>
  <c r="A21" i="73"/>
  <c r="A22" i="73"/>
  <c r="A23" i="73"/>
  <c r="A24" i="73"/>
  <c r="A25" i="73"/>
  <c r="A26" i="73"/>
  <c r="A37" i="73"/>
  <c r="A38" i="73"/>
  <c r="A39" i="73"/>
  <c r="A40" i="73"/>
  <c r="A41" i="73"/>
  <c r="A42" i="73"/>
  <c r="A43" i="73"/>
  <c r="A44" i="73"/>
  <c r="A45" i="73"/>
  <c r="A46" i="73"/>
  <c r="A47" i="73"/>
  <c r="A48" i="73"/>
  <c r="A49" i="73"/>
  <c r="A50" i="73"/>
  <c r="A51" i="73"/>
  <c r="A52" i="73"/>
  <c r="A53" i="73"/>
  <c r="A54" i="73"/>
  <c r="A55" i="73"/>
  <c r="A56" i="73"/>
  <c r="A57" i="73"/>
  <c r="A58" i="73"/>
  <c r="A59" i="73"/>
  <c r="A60" i="73"/>
  <c r="A61" i="73"/>
  <c r="A62" i="73"/>
  <c r="A63" i="73"/>
  <c r="A64" i="73"/>
  <c r="A65" i="73"/>
  <c r="A66" i="73"/>
  <c r="A67" i="73"/>
  <c r="A68" i="73"/>
  <c r="A69" i="73"/>
  <c r="A70" i="73"/>
  <c r="A71" i="73"/>
  <c r="A72" i="73"/>
  <c r="A73" i="73"/>
  <c r="A74" i="73"/>
  <c r="A75" i="73"/>
  <c r="A11" i="73"/>
  <c r="B11" i="73" s="1"/>
  <c r="H28" i="122" l="1"/>
  <c r="B32" i="73"/>
  <c r="G18" i="95"/>
  <c r="H27" i="123"/>
  <c r="H28" i="115"/>
  <c r="B16" i="73"/>
  <c r="H28" i="121"/>
  <c r="H28" i="123"/>
  <c r="H31" i="123" s="1"/>
  <c r="G15" i="102"/>
  <c r="B28" i="73"/>
  <c r="C35" i="73"/>
  <c r="G16" i="95"/>
  <c r="G16" i="96"/>
  <c r="H35" i="123"/>
  <c r="H39" i="123" s="1"/>
  <c r="B29" i="73"/>
  <c r="G17" i="86"/>
  <c r="H27" i="121"/>
  <c r="H31" i="121" s="1"/>
  <c r="H35" i="126"/>
  <c r="H39" i="126" s="1"/>
  <c r="G16" i="85"/>
  <c r="G16" i="101"/>
  <c r="G15" i="88"/>
  <c r="H31" i="117"/>
  <c r="C31" i="73"/>
  <c r="G17" i="87"/>
  <c r="H31" i="120"/>
  <c r="B12" i="73"/>
  <c r="B34" i="73"/>
  <c r="G16" i="84"/>
  <c r="B13" i="73"/>
  <c r="C15" i="73"/>
  <c r="G16" i="83"/>
  <c r="G17" i="99"/>
  <c r="H35" i="115"/>
  <c r="H39" i="115" s="1"/>
  <c r="H35" i="124"/>
  <c r="H39" i="124" s="1"/>
  <c r="B14" i="73"/>
  <c r="B27" i="73"/>
  <c r="G15" i="92"/>
  <c r="G15" i="124"/>
  <c r="H15" i="124" s="1"/>
  <c r="G17" i="97"/>
  <c r="H35" i="121"/>
  <c r="H39" i="121" s="1"/>
  <c r="G16" i="127"/>
  <c r="H16" i="127" s="1"/>
  <c r="C11" i="73"/>
  <c r="G17" i="88"/>
  <c r="H31" i="115"/>
  <c r="G16" i="113"/>
  <c r="G16" i="124"/>
  <c r="H16" i="124" s="1"/>
  <c r="G17" i="94"/>
  <c r="H27" i="116"/>
  <c r="H31" i="116" s="1"/>
  <c r="H27" i="124"/>
  <c r="G17" i="127"/>
  <c r="H17" i="127" s="1"/>
  <c r="G18" i="86"/>
  <c r="G15" i="91"/>
  <c r="G17" i="109"/>
  <c r="H35" i="127"/>
  <c r="H39" i="127" s="1"/>
  <c r="B33" i="73"/>
  <c r="G16" i="126"/>
  <c r="H16" i="126" s="1"/>
  <c r="H31" i="122"/>
  <c r="H28" i="124"/>
  <c r="H31" i="125"/>
  <c r="H15" i="125"/>
  <c r="H31" i="127"/>
  <c r="H35" i="119"/>
  <c r="H39" i="119" s="1"/>
  <c r="H31" i="126"/>
  <c r="H35" i="114"/>
  <c r="H39" i="114" s="1"/>
  <c r="H35" i="116"/>
  <c r="H39" i="116" s="1"/>
  <c r="G15" i="107"/>
  <c r="G19" i="111"/>
  <c r="G15" i="108"/>
  <c r="G16" i="88"/>
  <c r="G16" i="87"/>
  <c r="G16" i="110"/>
  <c r="G16" i="108"/>
  <c r="G16" i="97"/>
  <c r="G17" i="84"/>
  <c r="G17" i="108"/>
  <c r="G18" i="109"/>
  <c r="G17" i="96"/>
  <c r="G19" i="95"/>
  <c r="G16" i="86"/>
  <c r="G15" i="99"/>
  <c r="G18" i="99"/>
  <c r="G15" i="109"/>
  <c r="G16" i="103"/>
  <c r="G17" i="85"/>
  <c r="G19" i="96"/>
  <c r="H28" i="118"/>
  <c r="H27" i="118"/>
  <c r="H35" i="118"/>
  <c r="H39" i="118" s="1"/>
  <c r="H35" i="117"/>
  <c r="H39" i="117" s="1"/>
  <c r="H31" i="114"/>
  <c r="H31" i="118" l="1"/>
  <c r="H31" i="124"/>
  <c r="H17" i="113" l="1"/>
  <c r="H45" i="113"/>
  <c r="G35" i="113"/>
  <c r="E35" i="113"/>
  <c r="D35" i="113"/>
  <c r="G28" i="113"/>
  <c r="F28" i="113"/>
  <c r="H28" i="113" s="1"/>
  <c r="G27" i="113"/>
  <c r="F27" i="113"/>
  <c r="H20" i="113"/>
  <c r="H19" i="113"/>
  <c r="H18" i="113"/>
  <c r="F9" i="113"/>
  <c r="B6" i="113"/>
  <c r="H27" i="113" l="1"/>
  <c r="H31" i="113" s="1"/>
  <c r="H35" i="113"/>
  <c r="H39" i="113" s="1"/>
  <c r="J91" i="2" l="1"/>
  <c r="J89" i="2" s="1"/>
  <c r="H45" i="112"/>
  <c r="G35" i="112"/>
  <c r="F35" i="112"/>
  <c r="E35" i="112"/>
  <c r="D35" i="112"/>
  <c r="G28" i="112"/>
  <c r="F28" i="112"/>
  <c r="G27" i="112"/>
  <c r="F27" i="112"/>
  <c r="H21" i="112"/>
  <c r="H18" i="112"/>
  <c r="F9" i="112"/>
  <c r="B6" i="112"/>
  <c r="C26" i="73"/>
  <c r="D26" i="1"/>
  <c r="B88" i="2" s="1"/>
  <c r="C27" i="1"/>
  <c r="H20" i="112"/>
  <c r="H16" i="112"/>
  <c r="H15" i="112"/>
  <c r="H45" i="111"/>
  <c r="G35" i="111"/>
  <c r="F35" i="111"/>
  <c r="E35" i="111"/>
  <c r="D35" i="111"/>
  <c r="G28" i="111"/>
  <c r="F28" i="111"/>
  <c r="G27" i="111"/>
  <c r="F27" i="111"/>
  <c r="H20" i="111"/>
  <c r="F9" i="111"/>
  <c r="B6" i="111"/>
  <c r="J77" i="2"/>
  <c r="J82" i="2"/>
  <c r="J81" i="2"/>
  <c r="J76" i="2"/>
  <c r="J75" i="2"/>
  <c r="D22" i="1"/>
  <c r="B72" i="2" s="1"/>
  <c r="C23" i="1"/>
  <c r="C24" i="1" s="1"/>
  <c r="C25" i="1" s="1"/>
  <c r="C19" i="1"/>
  <c r="C20" i="1" s="1"/>
  <c r="C21" i="1" s="1"/>
  <c r="J70" i="2"/>
  <c r="J69" i="2"/>
  <c r="H15" i="113"/>
  <c r="D67" i="2"/>
  <c r="H45" i="110"/>
  <c r="G35" i="110"/>
  <c r="E35" i="110"/>
  <c r="D35" i="110"/>
  <c r="G28" i="110"/>
  <c r="F28" i="110"/>
  <c r="G27" i="110"/>
  <c r="F27" i="110"/>
  <c r="H27" i="110" s="1"/>
  <c r="H20" i="110"/>
  <c r="H19" i="110"/>
  <c r="H18" i="110"/>
  <c r="H17" i="110"/>
  <c r="F9" i="110"/>
  <c r="B6" i="110"/>
  <c r="C69" i="73"/>
  <c r="H19" i="109"/>
  <c r="H45" i="109"/>
  <c r="G35" i="109"/>
  <c r="F35" i="109"/>
  <c r="E35" i="109"/>
  <c r="D35" i="109"/>
  <c r="G28" i="109"/>
  <c r="F28" i="109"/>
  <c r="H28" i="109" s="1"/>
  <c r="G27" i="109"/>
  <c r="F27" i="109"/>
  <c r="F9" i="109"/>
  <c r="B6" i="109"/>
  <c r="B49" i="73"/>
  <c r="H20" i="109"/>
  <c r="H19" i="108"/>
  <c r="H18" i="109"/>
  <c r="H16" i="108"/>
  <c r="H45" i="108"/>
  <c r="G35" i="108"/>
  <c r="F35" i="108"/>
  <c r="E35" i="108"/>
  <c r="D35" i="108"/>
  <c r="G28" i="108"/>
  <c r="F28" i="108"/>
  <c r="H28" i="108" s="1"/>
  <c r="G27" i="108"/>
  <c r="F27" i="108"/>
  <c r="F9" i="108"/>
  <c r="B6" i="108"/>
  <c r="H17" i="108"/>
  <c r="H19" i="112"/>
  <c r="H15" i="108"/>
  <c r="H45" i="107"/>
  <c r="G35" i="107"/>
  <c r="F35" i="107"/>
  <c r="E35" i="107"/>
  <c r="D35" i="107"/>
  <c r="G28" i="107"/>
  <c r="F28" i="107"/>
  <c r="G27" i="107"/>
  <c r="F27" i="107"/>
  <c r="H20" i="107"/>
  <c r="H19" i="107"/>
  <c r="F9" i="107"/>
  <c r="B6" i="107"/>
  <c r="C47" i="73"/>
  <c r="B48" i="73"/>
  <c r="C50" i="73"/>
  <c r="C54" i="73"/>
  <c r="C55" i="73"/>
  <c r="C56" i="73"/>
  <c r="B57" i="73"/>
  <c r="C59" i="73"/>
  <c r="C60" i="73"/>
  <c r="B61" i="73"/>
  <c r="C62" i="73"/>
  <c r="C63" i="73"/>
  <c r="C64" i="73"/>
  <c r="C66" i="73"/>
  <c r="C67" i="73"/>
  <c r="C68" i="73"/>
  <c r="B70" i="73"/>
  <c r="C73" i="73"/>
  <c r="H47" i="73"/>
  <c r="H18" i="106"/>
  <c r="H17" i="106"/>
  <c r="H45" i="106"/>
  <c r="G35" i="106"/>
  <c r="E35" i="106"/>
  <c r="D35" i="106"/>
  <c r="G28" i="106"/>
  <c r="F28" i="106"/>
  <c r="G27" i="106"/>
  <c r="F27" i="106"/>
  <c r="H20" i="106"/>
  <c r="H19" i="106"/>
  <c r="F9" i="106"/>
  <c r="B6" i="106"/>
  <c r="H17" i="105"/>
  <c r="H45" i="105"/>
  <c r="G35" i="105"/>
  <c r="E35" i="105"/>
  <c r="D35" i="105"/>
  <c r="G28" i="105"/>
  <c r="F28" i="105"/>
  <c r="G27" i="105"/>
  <c r="F27" i="105"/>
  <c r="H20" i="105"/>
  <c r="H19" i="105"/>
  <c r="H18" i="105"/>
  <c r="F9" i="105"/>
  <c r="B6" i="105"/>
  <c r="F8" i="74"/>
  <c r="H15" i="104"/>
  <c r="F7" i="74"/>
  <c r="F6" i="74"/>
  <c r="F5" i="74"/>
  <c r="F4" i="74"/>
  <c r="F3" i="74"/>
  <c r="F2" i="74"/>
  <c r="B72" i="73"/>
  <c r="H45" i="104"/>
  <c r="G35" i="104"/>
  <c r="E35" i="104"/>
  <c r="D35" i="104"/>
  <c r="G28" i="104"/>
  <c r="F28" i="104"/>
  <c r="G27" i="104"/>
  <c r="F27" i="104"/>
  <c r="H20" i="104"/>
  <c r="H19" i="104"/>
  <c r="H18" i="104"/>
  <c r="H17" i="104"/>
  <c r="F9" i="104"/>
  <c r="B6" i="104"/>
  <c r="G27" i="103"/>
  <c r="F27" i="103"/>
  <c r="H16" i="104"/>
  <c r="H45" i="103"/>
  <c r="G35" i="103"/>
  <c r="E35" i="103"/>
  <c r="D35" i="103"/>
  <c r="G28" i="103"/>
  <c r="F28" i="103"/>
  <c r="H20" i="103"/>
  <c r="H19" i="103"/>
  <c r="H18" i="103"/>
  <c r="H17" i="103"/>
  <c r="F9" i="103"/>
  <c r="B6" i="103"/>
  <c r="H15" i="106"/>
  <c r="B65" i="73"/>
  <c r="H45" i="102"/>
  <c r="G35" i="102"/>
  <c r="E35" i="102"/>
  <c r="D35" i="102"/>
  <c r="G28" i="102"/>
  <c r="F28" i="102"/>
  <c r="G27" i="102"/>
  <c r="F27" i="102"/>
  <c r="H20" i="102"/>
  <c r="H19" i="102"/>
  <c r="H18" i="102"/>
  <c r="H17" i="102"/>
  <c r="H16" i="102"/>
  <c r="F9" i="102"/>
  <c r="B6" i="102"/>
  <c r="H17" i="98"/>
  <c r="H45" i="101"/>
  <c r="G35" i="101"/>
  <c r="E35" i="101"/>
  <c r="D35" i="101"/>
  <c r="G28" i="101"/>
  <c r="F28" i="101"/>
  <c r="G27" i="101"/>
  <c r="F27" i="101"/>
  <c r="H20" i="101"/>
  <c r="H19" i="101"/>
  <c r="H18" i="101"/>
  <c r="H17" i="101"/>
  <c r="F9" i="101"/>
  <c r="B6" i="101"/>
  <c r="H15" i="101"/>
  <c r="H45" i="100"/>
  <c r="G35" i="100"/>
  <c r="E35" i="100"/>
  <c r="D35" i="100"/>
  <c r="G28" i="100"/>
  <c r="F28" i="100"/>
  <c r="G27" i="100"/>
  <c r="F27" i="100"/>
  <c r="H20" i="100"/>
  <c r="H19" i="100"/>
  <c r="F9" i="100"/>
  <c r="B6" i="100"/>
  <c r="F15" i="99"/>
  <c r="F17" i="99"/>
  <c r="F16" i="99"/>
  <c r="F18" i="99"/>
  <c r="H19" i="99"/>
  <c r="H45" i="99"/>
  <c r="G35" i="99"/>
  <c r="E35" i="99"/>
  <c r="D35" i="99"/>
  <c r="G28" i="99"/>
  <c r="F28" i="99"/>
  <c r="G27" i="99"/>
  <c r="F27" i="99"/>
  <c r="H20" i="99"/>
  <c r="F9" i="99"/>
  <c r="B6" i="99"/>
  <c r="H45" i="98"/>
  <c r="G35" i="98"/>
  <c r="E35" i="98"/>
  <c r="D35" i="98"/>
  <c r="G28" i="98"/>
  <c r="F28" i="98"/>
  <c r="G27" i="98"/>
  <c r="F27" i="98"/>
  <c r="H20" i="98"/>
  <c r="H19" i="98"/>
  <c r="H18" i="98"/>
  <c r="F9" i="98"/>
  <c r="B6" i="98"/>
  <c r="F9" i="97"/>
  <c r="H45" i="97"/>
  <c r="G35" i="97"/>
  <c r="E35" i="97"/>
  <c r="D35" i="97"/>
  <c r="G28" i="97"/>
  <c r="F28" i="97"/>
  <c r="G27" i="97"/>
  <c r="F27" i="97"/>
  <c r="H20" i="97"/>
  <c r="H19" i="97"/>
  <c r="B6" i="97"/>
  <c r="H15" i="98"/>
  <c r="H18" i="97"/>
  <c r="H45" i="96"/>
  <c r="G35" i="96"/>
  <c r="E35" i="96"/>
  <c r="D35" i="96"/>
  <c r="H35" i="96" s="1"/>
  <c r="H39" i="96" s="1"/>
  <c r="G28" i="96"/>
  <c r="F28" i="96"/>
  <c r="G27" i="96"/>
  <c r="F27" i="96"/>
  <c r="H20" i="96"/>
  <c r="F9" i="96"/>
  <c r="B6" i="96"/>
  <c r="H45" i="95"/>
  <c r="G35" i="95"/>
  <c r="E35" i="95"/>
  <c r="D35" i="95"/>
  <c r="G28" i="95"/>
  <c r="F28" i="95"/>
  <c r="G27" i="95"/>
  <c r="F27" i="95"/>
  <c r="H20" i="95"/>
  <c r="F9" i="95"/>
  <c r="B6" i="95"/>
  <c r="H45" i="94"/>
  <c r="G35" i="94"/>
  <c r="E35" i="94"/>
  <c r="D35" i="94"/>
  <c r="G28" i="94"/>
  <c r="F28" i="94"/>
  <c r="G27" i="94"/>
  <c r="F27" i="94"/>
  <c r="H20" i="94"/>
  <c r="F9" i="94"/>
  <c r="B6" i="94"/>
  <c r="B53" i="73"/>
  <c r="C58" i="73"/>
  <c r="B52" i="73"/>
  <c r="C46" i="73"/>
  <c r="C45" i="73"/>
  <c r="C44" i="73"/>
  <c r="B43" i="73"/>
  <c r="B40" i="73"/>
  <c r="C39" i="73"/>
  <c r="B38" i="73"/>
  <c r="H38" i="73"/>
  <c r="B37" i="73"/>
  <c r="C20" i="73"/>
  <c r="C21" i="73"/>
  <c r="B22" i="73"/>
  <c r="B23" i="73"/>
  <c r="B25" i="73"/>
  <c r="H45" i="93"/>
  <c r="G35" i="93"/>
  <c r="F35" i="93"/>
  <c r="E35" i="93"/>
  <c r="D35" i="93"/>
  <c r="G27" i="93"/>
  <c r="F27" i="93"/>
  <c r="G15" i="93"/>
  <c r="H15" i="93" s="1"/>
  <c r="E15" i="93"/>
  <c r="F9" i="93"/>
  <c r="B6" i="93"/>
  <c r="A4" i="73"/>
  <c r="A2" i="73"/>
  <c r="A3" i="73"/>
  <c r="A5" i="73"/>
  <c r="C5" i="73" s="1"/>
  <c r="A6" i="73"/>
  <c r="B6" i="73" s="1"/>
  <c r="A7" i="73"/>
  <c r="B7" i="73" s="1"/>
  <c r="A8" i="73"/>
  <c r="C8" i="73" s="1"/>
  <c r="A9" i="73"/>
  <c r="B9" i="73" s="1"/>
  <c r="A10" i="73"/>
  <c r="B10" i="73" s="1"/>
  <c r="L18" i="92"/>
  <c r="H18" i="92"/>
  <c r="B3" i="73"/>
  <c r="J65" i="2"/>
  <c r="J63" i="2" s="1"/>
  <c r="J61" i="2"/>
  <c r="F59" i="2"/>
  <c r="D18" i="1"/>
  <c r="C10" i="1"/>
  <c r="C11" i="1" s="1"/>
  <c r="C12" i="1" s="1"/>
  <c r="C13" i="1" s="1"/>
  <c r="C14" i="1" s="1"/>
  <c r="C15" i="1" s="1"/>
  <c r="C16" i="1" s="1"/>
  <c r="C17" i="1" s="1"/>
  <c r="C7" i="1"/>
  <c r="C8" i="1" s="1"/>
  <c r="B12" i="2" s="1"/>
  <c r="D48" i="2"/>
  <c r="D49" i="2" s="1"/>
  <c r="J50" i="2"/>
  <c r="J48" i="2" s="1"/>
  <c r="J46" i="2"/>
  <c r="J44" i="2" s="1"/>
  <c r="J42" i="2"/>
  <c r="J40" i="2" s="1"/>
  <c r="J38" i="2"/>
  <c r="J37" i="2"/>
  <c r="D44" i="2"/>
  <c r="D45" i="2" s="1"/>
  <c r="D40" i="2"/>
  <c r="D41" i="2" s="1"/>
  <c r="D63" i="2"/>
  <c r="D64" i="2" s="1"/>
  <c r="F9" i="91"/>
  <c r="F9" i="89"/>
  <c r="D57" i="2"/>
  <c r="D58" i="2" s="1"/>
  <c r="F9" i="88"/>
  <c r="J33" i="2"/>
  <c r="J32" i="2"/>
  <c r="J28" i="2"/>
  <c r="J23" i="2"/>
  <c r="J19" i="2"/>
  <c r="J17" i="2" s="1"/>
  <c r="J8" i="2"/>
  <c r="B4" i="2"/>
  <c r="D35" i="2"/>
  <c r="D26" i="2"/>
  <c r="D25" i="2"/>
  <c r="F9" i="87"/>
  <c r="F9" i="86"/>
  <c r="F9" i="92"/>
  <c r="F9" i="85"/>
  <c r="F9" i="84"/>
  <c r="F9" i="83"/>
  <c r="F9" i="78"/>
  <c r="F9" i="79"/>
  <c r="F9" i="80"/>
  <c r="F3" i="75"/>
  <c r="L20" i="92"/>
  <c r="L15" i="92"/>
  <c r="K15" i="92"/>
  <c r="J15" i="92"/>
  <c r="H45" i="92"/>
  <c r="G35" i="92"/>
  <c r="F35" i="92"/>
  <c r="E35" i="92"/>
  <c r="D35" i="92"/>
  <c r="G27" i="92"/>
  <c r="F27" i="92"/>
  <c r="H20" i="92"/>
  <c r="J16" i="92"/>
  <c r="K16" i="92" s="1"/>
  <c r="B6" i="92"/>
  <c r="J27" i="2"/>
  <c r="H18" i="91"/>
  <c r="H17" i="112"/>
  <c r="H45" i="91"/>
  <c r="G35" i="91"/>
  <c r="F35" i="91"/>
  <c r="E35" i="91"/>
  <c r="D35" i="91"/>
  <c r="G28" i="91"/>
  <c r="F28" i="91"/>
  <c r="G27" i="91"/>
  <c r="F27" i="91"/>
  <c r="H20" i="91"/>
  <c r="H19" i="91"/>
  <c r="B6" i="91"/>
  <c r="G46" i="1"/>
  <c r="L10" i="90"/>
  <c r="L8" i="90" s="1"/>
  <c r="M12" i="90"/>
  <c r="N12" i="90" s="1"/>
  <c r="J14" i="90"/>
  <c r="L14" i="90"/>
  <c r="E15" i="90"/>
  <c r="J15" i="90" s="1"/>
  <c r="L15" i="90"/>
  <c r="G17" i="90"/>
  <c r="L17" i="90"/>
  <c r="L28" i="90"/>
  <c r="J29" i="90"/>
  <c r="J30" i="90"/>
  <c r="J31" i="90"/>
  <c r="L32" i="90"/>
  <c r="L34" i="90"/>
  <c r="L36" i="90"/>
  <c r="L41" i="90"/>
  <c r="J86" i="2"/>
  <c r="J84" i="2" s="1"/>
  <c r="D89" i="2"/>
  <c r="D90" i="2" s="1"/>
  <c r="F35" i="89"/>
  <c r="H45" i="89"/>
  <c r="G35" i="89"/>
  <c r="E35" i="89"/>
  <c r="D35" i="89"/>
  <c r="G28" i="89"/>
  <c r="F28" i="89"/>
  <c r="G27" i="89"/>
  <c r="F27" i="89"/>
  <c r="H20" i="89"/>
  <c r="H19" i="89"/>
  <c r="H18" i="89"/>
  <c r="H17" i="89"/>
  <c r="B6" i="89"/>
  <c r="F35" i="81"/>
  <c r="H18" i="88"/>
  <c r="G28" i="88"/>
  <c r="G27" i="88"/>
  <c r="F28" i="88"/>
  <c r="F27" i="88"/>
  <c r="F35" i="88"/>
  <c r="D35" i="88"/>
  <c r="H45" i="88"/>
  <c r="G35" i="88"/>
  <c r="E35" i="88"/>
  <c r="H20" i="88"/>
  <c r="B6" i="88"/>
  <c r="E15" i="81"/>
  <c r="H16" i="89"/>
  <c r="G15" i="81"/>
  <c r="H15" i="86"/>
  <c r="H17" i="95"/>
  <c r="H16" i="92"/>
  <c r="H15" i="88"/>
  <c r="H16" i="105"/>
  <c r="H17" i="92"/>
  <c r="H15" i="92"/>
  <c r="H15" i="105"/>
  <c r="H45" i="87"/>
  <c r="G35" i="87"/>
  <c r="F35" i="87"/>
  <c r="E35" i="87"/>
  <c r="D35" i="87"/>
  <c r="G27" i="87"/>
  <c r="F27" i="87"/>
  <c r="B6" i="87"/>
  <c r="F35" i="86"/>
  <c r="H45" i="86"/>
  <c r="G35" i="86"/>
  <c r="E35" i="86"/>
  <c r="D35" i="86"/>
  <c r="G27" i="86"/>
  <c r="F27" i="86"/>
  <c r="B6" i="86"/>
  <c r="L18" i="85"/>
  <c r="J16" i="85"/>
  <c r="K16" i="85" s="1"/>
  <c r="J15" i="85"/>
  <c r="H42" i="85"/>
  <c r="G32" i="85"/>
  <c r="F32" i="85"/>
  <c r="E32" i="85"/>
  <c r="D32" i="85"/>
  <c r="G25" i="85"/>
  <c r="F25" i="85"/>
  <c r="H18" i="85"/>
  <c r="B6" i="85"/>
  <c r="H35" i="94" l="1"/>
  <c r="H39" i="94" s="1"/>
  <c r="H28" i="95"/>
  <c r="H27" i="108"/>
  <c r="H27" i="109"/>
  <c r="H31" i="109" s="1"/>
  <c r="H28" i="107"/>
  <c r="B139" i="2"/>
  <c r="B123" i="2"/>
  <c r="B127" i="2"/>
  <c r="B135" i="2"/>
  <c r="B131" i="2"/>
  <c r="B117" i="2"/>
  <c r="B111" i="2"/>
  <c r="B106" i="2"/>
  <c r="B56" i="2"/>
  <c r="B100" i="2"/>
  <c r="B96" i="2"/>
  <c r="J67" i="2"/>
  <c r="K17" i="85"/>
  <c r="H35" i="109"/>
  <c r="H39" i="109" s="1"/>
  <c r="M15" i="92"/>
  <c r="H28" i="98"/>
  <c r="H27" i="101"/>
  <c r="H28" i="103"/>
  <c r="H28" i="111"/>
  <c r="H27" i="112"/>
  <c r="H35" i="103"/>
  <c r="H39" i="103" s="1"/>
  <c r="H35" i="104"/>
  <c r="H39" i="104" s="1"/>
  <c r="H27" i="106"/>
  <c r="H28" i="106"/>
  <c r="H31" i="106" s="1"/>
  <c r="H28" i="110"/>
  <c r="H35" i="93"/>
  <c r="H39" i="93" s="1"/>
  <c r="H27" i="95"/>
  <c r="H31" i="95" s="1"/>
  <c r="H31" i="108"/>
  <c r="H27" i="102"/>
  <c r="H35" i="110"/>
  <c r="H39" i="110" s="1"/>
  <c r="H27" i="111"/>
  <c r="H28" i="112"/>
  <c r="H27" i="91"/>
  <c r="H35" i="95"/>
  <c r="H39" i="95" s="1"/>
  <c r="H27" i="100"/>
  <c r="D9" i="124"/>
  <c r="D9" i="122"/>
  <c r="D9" i="126"/>
  <c r="D9" i="127"/>
  <c r="D9" i="125"/>
  <c r="D9" i="115"/>
  <c r="D9" i="119"/>
  <c r="D9" i="116"/>
  <c r="D9" i="118"/>
  <c r="D9" i="117"/>
  <c r="H35" i="101"/>
  <c r="H39" i="101" s="1"/>
  <c r="H35" i="105"/>
  <c r="H39" i="105" s="1"/>
  <c r="H35" i="98"/>
  <c r="H39" i="98" s="1"/>
  <c r="H35" i="106"/>
  <c r="H39" i="106" s="1"/>
  <c r="H35" i="102"/>
  <c r="H39" i="102" s="1"/>
  <c r="H35" i="108"/>
  <c r="H39" i="108" s="1"/>
  <c r="H35" i="91"/>
  <c r="H39" i="91" s="1"/>
  <c r="H35" i="97"/>
  <c r="H39" i="97" s="1"/>
  <c r="H35" i="107"/>
  <c r="H39" i="107" s="1"/>
  <c r="H35" i="112"/>
  <c r="H39" i="112" s="1"/>
  <c r="H27" i="97"/>
  <c r="H27" i="98"/>
  <c r="H28" i="101"/>
  <c r="H31" i="101" s="1"/>
  <c r="H28" i="100"/>
  <c r="H28" i="102"/>
  <c r="H31" i="102" s="1"/>
  <c r="H27" i="104"/>
  <c r="H27" i="107"/>
  <c r="H27" i="96"/>
  <c r="H28" i="104"/>
  <c r="H28" i="105"/>
  <c r="J79" i="2"/>
  <c r="J73" i="2"/>
  <c r="F60" i="2"/>
  <c r="J60" i="2" s="1"/>
  <c r="J59" i="2"/>
  <c r="H16" i="98"/>
  <c r="H16" i="113"/>
  <c r="D9" i="113"/>
  <c r="B90" i="2"/>
  <c r="D9" i="112"/>
  <c r="H21" i="111"/>
  <c r="B26" i="73"/>
  <c r="B50" i="73"/>
  <c r="D9" i="111"/>
  <c r="H35" i="111"/>
  <c r="H39" i="111" s="1"/>
  <c r="H15" i="111"/>
  <c r="H19" i="111"/>
  <c r="H18" i="108"/>
  <c r="H16" i="111"/>
  <c r="H18" i="111"/>
  <c r="H17" i="111"/>
  <c r="B69" i="73"/>
  <c r="B68" i="2"/>
  <c r="B64" i="2"/>
  <c r="D68" i="2"/>
  <c r="J30" i="2"/>
  <c r="J35" i="2"/>
  <c r="D9" i="110"/>
  <c r="H16" i="109"/>
  <c r="H15" i="110"/>
  <c r="H16" i="110"/>
  <c r="H20" i="108"/>
  <c r="J25" i="2"/>
  <c r="H31" i="110"/>
  <c r="D9" i="109"/>
  <c r="C48" i="73"/>
  <c r="C49" i="73"/>
  <c r="D9" i="108"/>
  <c r="H17" i="109"/>
  <c r="H15" i="109"/>
  <c r="H15" i="107"/>
  <c r="H17" i="107"/>
  <c r="H16" i="107"/>
  <c r="B47" i="73"/>
  <c r="D9" i="107"/>
  <c r="H16" i="106"/>
  <c r="H18" i="107"/>
  <c r="B73" i="73"/>
  <c r="D9" i="105"/>
  <c r="D9" i="106"/>
  <c r="H15" i="103"/>
  <c r="H27" i="105"/>
  <c r="H27" i="103"/>
  <c r="H31" i="103" s="1"/>
  <c r="D9" i="104"/>
  <c r="H16" i="103"/>
  <c r="D9" i="103"/>
  <c r="H17" i="97"/>
  <c r="F35" i="99"/>
  <c r="H35" i="99" s="1"/>
  <c r="H39" i="99" s="1"/>
  <c r="B66" i="73"/>
  <c r="B62" i="73"/>
  <c r="B67" i="73"/>
  <c r="B63" i="73"/>
  <c r="B68" i="73"/>
  <c r="B64" i="73"/>
  <c r="D9" i="100"/>
  <c r="D9" i="101"/>
  <c r="D9" i="95"/>
  <c r="D9" i="102"/>
  <c r="D9" i="98"/>
  <c r="D9" i="99"/>
  <c r="D9" i="97"/>
  <c r="D9" i="94"/>
  <c r="H16" i="100"/>
  <c r="H16" i="101"/>
  <c r="H18" i="100"/>
  <c r="H18" i="99"/>
  <c r="H17" i="100"/>
  <c r="H15" i="100"/>
  <c r="F35" i="100"/>
  <c r="H35" i="100" s="1"/>
  <c r="H39" i="100" s="1"/>
  <c r="H17" i="99"/>
  <c r="H19" i="96"/>
  <c r="H15" i="99"/>
  <c r="H27" i="99"/>
  <c r="H28" i="91"/>
  <c r="H27" i="94"/>
  <c r="H28" i="97"/>
  <c r="H28" i="99"/>
  <c r="H28" i="89"/>
  <c r="H27" i="93"/>
  <c r="H31" i="93" s="1"/>
  <c r="H28" i="94"/>
  <c r="H28" i="96"/>
  <c r="H15" i="97"/>
  <c r="H15" i="96"/>
  <c r="H18" i="96"/>
  <c r="H16" i="96"/>
  <c r="D9" i="96"/>
  <c r="H15" i="91"/>
  <c r="H17" i="94"/>
  <c r="H17" i="91"/>
  <c r="C40" i="73"/>
  <c r="B46" i="73"/>
  <c r="C53" i="73"/>
  <c r="B54" i="73"/>
  <c r="C57" i="73"/>
  <c r="D9" i="86"/>
  <c r="C61" i="73"/>
  <c r="B58" i="73"/>
  <c r="D9" i="93"/>
  <c r="B39" i="73"/>
  <c r="B44" i="73"/>
  <c r="B55" i="73"/>
  <c r="B59" i="73"/>
  <c r="B58" i="2"/>
  <c r="B45" i="73"/>
  <c r="B56" i="73"/>
  <c r="B60" i="73"/>
  <c r="B20" i="73"/>
  <c r="C9" i="73"/>
  <c r="B21" i="73"/>
  <c r="C10" i="73"/>
  <c r="B5" i="73"/>
  <c r="C6" i="73"/>
  <c r="C22" i="73"/>
  <c r="B8" i="73"/>
  <c r="C25" i="73"/>
  <c r="C4" i="73"/>
  <c r="B4" i="73"/>
  <c r="C23" i="73"/>
  <c r="C7" i="73"/>
  <c r="C24" i="73"/>
  <c r="B24" i="73"/>
  <c r="K17" i="92"/>
  <c r="H27" i="92"/>
  <c r="H31" i="92" s="1"/>
  <c r="H35" i="92"/>
  <c r="H39" i="92" s="1"/>
  <c r="B18" i="2"/>
  <c r="B22" i="2"/>
  <c r="D36" i="2"/>
  <c r="B7" i="2"/>
  <c r="D9" i="78"/>
  <c r="D9" i="79"/>
  <c r="H16" i="91"/>
  <c r="H15" i="89"/>
  <c r="H27" i="89"/>
  <c r="L13" i="90"/>
  <c r="J28" i="90"/>
  <c r="H35" i="89"/>
  <c r="H39" i="89" s="1"/>
  <c r="H35" i="87"/>
  <c r="H39" i="87" s="1"/>
  <c r="H17" i="88"/>
  <c r="H28" i="88"/>
  <c r="H27" i="86"/>
  <c r="H31" i="86" s="1"/>
  <c r="H27" i="87"/>
  <c r="H31" i="87" s="1"/>
  <c r="H25" i="85"/>
  <c r="H28" i="85" s="1"/>
  <c r="H35" i="88"/>
  <c r="H39" i="88" s="1"/>
  <c r="H27" i="88"/>
  <c r="H15" i="87"/>
  <c r="H35" i="86"/>
  <c r="H39" i="86" s="1"/>
  <c r="H32" i="85"/>
  <c r="H36" i="85" s="1"/>
  <c r="H31" i="107" l="1"/>
  <c r="H31" i="100"/>
  <c r="H31" i="112"/>
  <c r="H31" i="98"/>
  <c r="H31" i="97"/>
  <c r="H31" i="96"/>
  <c r="H31" i="111"/>
  <c r="H31" i="99"/>
  <c r="H31" i="91"/>
  <c r="H31" i="104"/>
  <c r="G44" i="114"/>
  <c r="G43" i="116"/>
  <c r="G44" i="119"/>
  <c r="G44" i="116"/>
  <c r="G43" i="118"/>
  <c r="G44" i="117"/>
  <c r="G43" i="114"/>
  <c r="G44" i="115"/>
  <c r="G44" i="118"/>
  <c r="G43" i="115"/>
  <c r="G43" i="117"/>
  <c r="G43" i="119"/>
  <c r="H31" i="105"/>
  <c r="J57" i="2"/>
  <c r="G43" i="4"/>
  <c r="H31" i="94"/>
  <c r="H31" i="89"/>
  <c r="H31" i="88"/>
  <c r="G44" i="81"/>
  <c r="G44" i="78"/>
  <c r="G43" i="77"/>
  <c r="G44" i="77"/>
  <c r="G43" i="79"/>
  <c r="G44" i="79"/>
  <c r="G43" i="78"/>
  <c r="G44" i="4"/>
  <c r="G43" i="81"/>
  <c r="G43" i="93"/>
  <c r="G44" i="93"/>
  <c r="D9" i="88"/>
  <c r="D9" i="91"/>
  <c r="D9" i="89"/>
  <c r="D9" i="83"/>
  <c r="D9" i="84"/>
  <c r="D9" i="81"/>
  <c r="D9" i="85"/>
  <c r="D9" i="80"/>
  <c r="D9" i="92"/>
  <c r="J13" i="90"/>
  <c r="B26" i="2" l="1"/>
  <c r="H15" i="85"/>
  <c r="H42" i="84"/>
  <c r="G32" i="84"/>
  <c r="F32" i="84"/>
  <c r="E32" i="84"/>
  <c r="D32" i="84"/>
  <c r="G25" i="84"/>
  <c r="F25" i="84"/>
  <c r="H18" i="84"/>
  <c r="B6" i="84"/>
  <c r="E32" i="83"/>
  <c r="F32" i="83"/>
  <c r="H18" i="83"/>
  <c r="H15" i="83"/>
  <c r="B19" i="73"/>
  <c r="H42" i="83"/>
  <c r="G32" i="83"/>
  <c r="D32" i="83"/>
  <c r="G25" i="83"/>
  <c r="F25" i="83"/>
  <c r="B6" i="83"/>
  <c r="D53" i="2"/>
  <c r="D52" i="2"/>
  <c r="J54" i="2"/>
  <c r="J53" i="2" s="1"/>
  <c r="D30" i="2"/>
  <c r="D31" i="2" s="1"/>
  <c r="G44" i="125" l="1"/>
  <c r="H44" i="125" s="1"/>
  <c r="G43" i="120"/>
  <c r="G43" i="125"/>
  <c r="H43" i="125" s="1"/>
  <c r="G44" i="120"/>
  <c r="G43" i="126"/>
  <c r="G44" i="126"/>
  <c r="G44" i="127"/>
  <c r="H44" i="127" s="1"/>
  <c r="G43" i="127"/>
  <c r="H43" i="127" s="1"/>
  <c r="G43" i="113"/>
  <c r="G44" i="113"/>
  <c r="G44" i="112"/>
  <c r="G43" i="112"/>
  <c r="G44" i="111"/>
  <c r="G43" i="111"/>
  <c r="G43" i="110"/>
  <c r="G44" i="110"/>
  <c r="G43" i="109"/>
  <c r="G44" i="109"/>
  <c r="G43" i="108"/>
  <c r="G44" i="108"/>
  <c r="G43" i="107"/>
  <c r="G44" i="107"/>
  <c r="G43" i="105"/>
  <c r="G44" i="106"/>
  <c r="G43" i="106"/>
  <c r="G44" i="105"/>
  <c r="G43" i="103"/>
  <c r="G44" i="104"/>
  <c r="G43" i="104"/>
  <c r="G44" i="103"/>
  <c r="G44" i="98"/>
  <c r="G44" i="99"/>
  <c r="G44" i="97"/>
  <c r="G43" i="94"/>
  <c r="G43" i="100"/>
  <c r="G43" i="99"/>
  <c r="G44" i="102"/>
  <c r="G43" i="98"/>
  <c r="G44" i="95"/>
  <c r="G44" i="96"/>
  <c r="G43" i="97"/>
  <c r="G44" i="101"/>
  <c r="G43" i="95"/>
  <c r="G44" i="100"/>
  <c r="G43" i="102"/>
  <c r="G44" i="94"/>
  <c r="G43" i="101"/>
  <c r="G43" i="96"/>
  <c r="G43" i="92"/>
  <c r="G43" i="87"/>
  <c r="G43" i="86"/>
  <c r="G44" i="86"/>
  <c r="G44" i="92"/>
  <c r="G44" i="87"/>
  <c r="G41" i="84"/>
  <c r="B36" i="2"/>
  <c r="B31" i="2"/>
  <c r="G41" i="83"/>
  <c r="G40" i="84"/>
  <c r="G40" i="85"/>
  <c r="G41" i="85"/>
  <c r="G40" i="83"/>
  <c r="H25" i="84"/>
  <c r="H28" i="84" s="1"/>
  <c r="H25" i="83"/>
  <c r="H28" i="83" s="1"/>
  <c r="H32" i="84"/>
  <c r="H36" i="84" s="1"/>
  <c r="H15" i="84"/>
  <c r="H32" i="83"/>
  <c r="H36" i="83" s="1"/>
  <c r="D22" i="2"/>
  <c r="D21" i="2"/>
  <c r="D18" i="2"/>
  <c r="D17" i="2"/>
  <c r="B16" i="2"/>
  <c r="B5" i="2"/>
  <c r="H17" i="87"/>
  <c r="H16" i="87"/>
  <c r="H45" i="81"/>
  <c r="G35" i="81"/>
  <c r="E35" i="81"/>
  <c r="D35" i="81"/>
  <c r="G27" i="81"/>
  <c r="F27" i="81"/>
  <c r="F9" i="81"/>
  <c r="B6" i="81"/>
  <c r="G41" i="80"/>
  <c r="G40" i="80"/>
  <c r="H42" i="80"/>
  <c r="G32" i="80"/>
  <c r="E32" i="80"/>
  <c r="D32" i="80"/>
  <c r="G25" i="80"/>
  <c r="F25" i="80"/>
  <c r="B6" i="80"/>
  <c r="H45" i="79"/>
  <c r="G35" i="79"/>
  <c r="E35" i="79"/>
  <c r="D35" i="79"/>
  <c r="G27" i="79"/>
  <c r="F27" i="79"/>
  <c r="B6" i="79"/>
  <c r="H45" i="78"/>
  <c r="G35" i="78"/>
  <c r="E35" i="78"/>
  <c r="D35" i="78"/>
  <c r="G27" i="78"/>
  <c r="F27" i="78"/>
  <c r="B6" i="78"/>
  <c r="D35" i="77"/>
  <c r="G35" i="77"/>
  <c r="E35" i="77"/>
  <c r="G27" i="4"/>
  <c r="F27" i="4"/>
  <c r="G28" i="77"/>
  <c r="F28" i="77"/>
  <c r="H45" i="77"/>
  <c r="F9" i="77"/>
  <c r="B6" i="77"/>
  <c r="F38" i="76"/>
  <c r="F37" i="76"/>
  <c r="F36" i="76"/>
  <c r="F35" i="76"/>
  <c r="F34" i="76"/>
  <c r="F33" i="76"/>
  <c r="F32" i="76"/>
  <c r="F31" i="76"/>
  <c r="F30" i="76"/>
  <c r="F29" i="76"/>
  <c r="F28" i="76"/>
  <c r="F27" i="76"/>
  <c r="F26" i="76"/>
  <c r="F25" i="76"/>
  <c r="F24" i="76"/>
  <c r="F23" i="76"/>
  <c r="F22" i="76"/>
  <c r="F21" i="76"/>
  <c r="F20" i="76"/>
  <c r="F19" i="76"/>
  <c r="F18" i="76"/>
  <c r="F17" i="76"/>
  <c r="F16" i="76"/>
  <c r="F15" i="76"/>
  <c r="F14" i="76"/>
  <c r="F9" i="4"/>
  <c r="F38" i="74"/>
  <c r="F37" i="74"/>
  <c r="F36" i="74"/>
  <c r="F35" i="74"/>
  <c r="F34" i="74"/>
  <c r="F33" i="74"/>
  <c r="F32" i="74"/>
  <c r="F31" i="74"/>
  <c r="F30" i="74"/>
  <c r="F29" i="74"/>
  <c r="F28" i="74"/>
  <c r="F27" i="74"/>
  <c r="F26" i="74"/>
  <c r="F25" i="74"/>
  <c r="F24" i="74"/>
  <c r="F23" i="74"/>
  <c r="F22" i="74"/>
  <c r="F21" i="74"/>
  <c r="F20" i="74"/>
  <c r="F19" i="74"/>
  <c r="F18" i="74"/>
  <c r="F17" i="74"/>
  <c r="F16" i="74"/>
  <c r="F15" i="74"/>
  <c r="F14" i="74"/>
  <c r="F13" i="74"/>
  <c r="F12" i="74"/>
  <c r="F11" i="74"/>
  <c r="F10" i="74"/>
  <c r="F9" i="74"/>
  <c r="H46" i="125" l="1"/>
  <c r="G22" i="125" s="1"/>
  <c r="H22" i="125" s="1"/>
  <c r="H23" i="125" s="1"/>
  <c r="H48" i="125" s="1"/>
  <c r="D28" i="75" s="1"/>
  <c r="H46" i="127"/>
  <c r="G22" i="127" s="1"/>
  <c r="H22" i="127" s="1"/>
  <c r="H23" i="127" s="1"/>
  <c r="H48" i="127" s="1"/>
  <c r="D26" i="75" s="1"/>
  <c r="H27" i="79"/>
  <c r="H31" i="79" s="1"/>
  <c r="D9" i="87"/>
  <c r="H25" i="80"/>
  <c r="H28" i="80" s="1"/>
  <c r="H27" i="78"/>
  <c r="H31" i="78" s="1"/>
  <c r="H27" i="81"/>
  <c r="H31" i="81" s="1"/>
  <c r="J21" i="2"/>
  <c r="H18" i="86"/>
  <c r="H18" i="87"/>
  <c r="H16" i="85"/>
  <c r="H17" i="86"/>
  <c r="H17" i="85"/>
  <c r="H16" i="86"/>
  <c r="H17" i="84"/>
  <c r="H17" i="83"/>
  <c r="H15" i="81"/>
  <c r="H16" i="83"/>
  <c r="H16" i="84"/>
  <c r="H35" i="81"/>
  <c r="H39" i="81" s="1"/>
  <c r="H32" i="80"/>
  <c r="H36" i="80" s="1"/>
  <c r="H35" i="79"/>
  <c r="H39" i="79" s="1"/>
  <c r="H35" i="78"/>
  <c r="H39" i="78" s="1"/>
  <c r="H35" i="77"/>
  <c r="H39" i="77" s="1"/>
  <c r="H28" i="77"/>
  <c r="H31" i="77" s="1"/>
  <c r="H25" i="73"/>
  <c r="F6" i="51"/>
  <c r="F7" i="51" s="1"/>
  <c r="F9" i="51" l="1"/>
  <c r="K7" i="51"/>
  <c r="B41" i="2"/>
  <c r="D6" i="2"/>
  <c r="G28" i="9"/>
  <c r="H28" i="9" s="1"/>
  <c r="G29" i="9"/>
  <c r="H29" i="9" s="1"/>
  <c r="J9" i="2"/>
  <c r="J6" i="2" s="1"/>
  <c r="D38" i="8"/>
  <c r="H38" i="8"/>
  <c r="D36" i="44"/>
  <c r="H36" i="44" s="1"/>
  <c r="F78" i="51"/>
  <c r="F77" i="51"/>
  <c r="F76" i="51"/>
  <c r="F75" i="51"/>
  <c r="F74" i="51"/>
  <c r="F73" i="51"/>
  <c r="F72" i="51"/>
  <c r="F71" i="51"/>
  <c r="F70" i="51"/>
  <c r="F69" i="51"/>
  <c r="F68" i="51"/>
  <c r="F67" i="51"/>
  <c r="F66" i="51"/>
  <c r="F65" i="51"/>
  <c r="F64" i="51"/>
  <c r="F63" i="51"/>
  <c r="F62" i="51"/>
  <c r="F61" i="51"/>
  <c r="F60" i="51"/>
  <c r="F59" i="51"/>
  <c r="F58" i="51"/>
  <c r="F57" i="51"/>
  <c r="F56" i="51"/>
  <c r="F55" i="51"/>
  <c r="F54" i="51"/>
  <c r="F53" i="51"/>
  <c r="F52" i="51"/>
  <c r="F51" i="51"/>
  <c r="F50" i="51"/>
  <c r="F49" i="51"/>
  <c r="F48" i="51"/>
  <c r="F47" i="51"/>
  <c r="F46" i="51"/>
  <c r="F45" i="51"/>
  <c r="F44" i="51"/>
  <c r="F43" i="51"/>
  <c r="F42" i="51"/>
  <c r="F41" i="51"/>
  <c r="F40" i="51"/>
  <c r="F39" i="51"/>
  <c r="F38" i="51"/>
  <c r="F37" i="51"/>
  <c r="F36" i="51"/>
  <c r="F35" i="51"/>
  <c r="F34" i="51"/>
  <c r="F33" i="51"/>
  <c r="F32" i="51"/>
  <c r="F31" i="51"/>
  <c r="F30" i="51"/>
  <c r="F29" i="51"/>
  <c r="F28" i="51"/>
  <c r="F27" i="51"/>
  <c r="F26" i="51"/>
  <c r="F25" i="51"/>
  <c r="F24" i="51"/>
  <c r="F23" i="51"/>
  <c r="F22" i="51"/>
  <c r="F21" i="51"/>
  <c r="F20" i="51"/>
  <c r="F19" i="51"/>
  <c r="F18" i="51"/>
  <c r="F17" i="51"/>
  <c r="F16" i="51"/>
  <c r="J16" i="51" s="1"/>
  <c r="F15" i="51"/>
  <c r="F14" i="51"/>
  <c r="G16" i="9"/>
  <c r="G15" i="9"/>
  <c r="G20" i="44"/>
  <c r="H20" i="44" s="1"/>
  <c r="G19" i="44"/>
  <c r="H19" i="44" s="1"/>
  <c r="G21" i="8"/>
  <c r="H21" i="8" s="1"/>
  <c r="G20" i="8"/>
  <c r="H20" i="8" s="1"/>
  <c r="G23" i="8"/>
  <c r="H23" i="8" s="1"/>
  <c r="G15" i="8"/>
  <c r="H15" i="8" s="1"/>
  <c r="G17" i="9"/>
  <c r="G16" i="44"/>
  <c r="H16" i="44" s="1"/>
  <c r="F9" i="9"/>
  <c r="D10" i="9"/>
  <c r="H22" i="8"/>
  <c r="F9" i="8"/>
  <c r="D10" i="8"/>
  <c r="D10" i="44"/>
  <c r="D35" i="44"/>
  <c r="H35" i="44" s="1"/>
  <c r="H29" i="44"/>
  <c r="H28" i="44"/>
  <c r="H22" i="44"/>
  <c r="H18" i="44"/>
  <c r="B6" i="44"/>
  <c r="H27" i="4"/>
  <c r="H31" i="4" s="1"/>
  <c r="H45" i="4"/>
  <c r="B6" i="4"/>
  <c r="D2" i="2"/>
  <c r="D84" i="2"/>
  <c r="D79" i="2"/>
  <c r="D73" i="2"/>
  <c r="B6" i="9"/>
  <c r="B6" i="8"/>
  <c r="F46" i="9"/>
  <c r="H46" i="9"/>
  <c r="F45" i="9"/>
  <c r="H45" i="9" s="1"/>
  <c r="K19" i="9"/>
  <c r="L19" i="9" s="1"/>
  <c r="F18" i="9" s="1"/>
  <c r="H18" i="9" s="1"/>
  <c r="L15" i="9"/>
  <c r="F15" i="9" s="1"/>
  <c r="F47" i="8"/>
  <c r="H47" i="8" s="1"/>
  <c r="F46" i="8"/>
  <c r="H46" i="8" s="1"/>
  <c r="G30" i="8"/>
  <c r="H30" i="8" s="1"/>
  <c r="G29" i="8"/>
  <c r="H29" i="8" s="1"/>
  <c r="H39" i="4"/>
  <c r="H38" i="9"/>
  <c r="L16" i="9"/>
  <c r="F17" i="9" s="1"/>
  <c r="L17" i="9"/>
  <c r="F16" i="9"/>
  <c r="D36" i="9" s="1"/>
  <c r="H36" i="9" s="1"/>
  <c r="H39" i="8"/>
  <c r="H18" i="8"/>
  <c r="H37" i="9"/>
  <c r="D37" i="8"/>
  <c r="H37" i="8"/>
  <c r="H31" i="44" l="1"/>
  <c r="H40" i="8"/>
  <c r="F8" i="1"/>
  <c r="H8" i="1" s="1"/>
  <c r="H39" i="9"/>
  <c r="H16" i="9"/>
  <c r="H17" i="9"/>
  <c r="D43" i="120"/>
  <c r="F43" i="120" s="1"/>
  <c r="H43" i="120" s="1"/>
  <c r="D43" i="126"/>
  <c r="F43" i="126" s="1"/>
  <c r="H43" i="126" s="1"/>
  <c r="D43" i="114"/>
  <c r="F43" i="114" s="1"/>
  <c r="H43" i="114" s="1"/>
  <c r="D43" i="116"/>
  <c r="F43" i="116" s="1"/>
  <c r="H43" i="116" s="1"/>
  <c r="D43" i="117"/>
  <c r="F43" i="117" s="1"/>
  <c r="H43" i="117" s="1"/>
  <c r="D43" i="115"/>
  <c r="F43" i="115" s="1"/>
  <c r="H43" i="115" s="1"/>
  <c r="D43" i="118"/>
  <c r="F43" i="118" s="1"/>
  <c r="H43" i="118" s="1"/>
  <c r="D43" i="119"/>
  <c r="F43" i="119" s="1"/>
  <c r="H43" i="119" s="1"/>
  <c r="D43" i="113"/>
  <c r="F43" i="113" s="1"/>
  <c r="H43" i="113" s="1"/>
  <c r="D43" i="101"/>
  <c r="F43" i="101" s="1"/>
  <c r="H43" i="101" s="1"/>
  <c r="D43" i="105"/>
  <c r="F43" i="105" s="1"/>
  <c r="H43" i="105" s="1"/>
  <c r="D43" i="104"/>
  <c r="F43" i="104" s="1"/>
  <c r="H43" i="104" s="1"/>
  <c r="D43" i="96"/>
  <c r="F43" i="96" s="1"/>
  <c r="H43" i="96" s="1"/>
  <c r="D43" i="110"/>
  <c r="F43" i="110" s="1"/>
  <c r="H43" i="110" s="1"/>
  <c r="D43" i="106"/>
  <c r="F43" i="106" s="1"/>
  <c r="H43" i="106" s="1"/>
  <c r="D43" i="100"/>
  <c r="F43" i="100" s="1"/>
  <c r="H43" i="100" s="1"/>
  <c r="D43" i="98"/>
  <c r="F43" i="98" s="1"/>
  <c r="H43" i="98" s="1"/>
  <c r="D43" i="97"/>
  <c r="F43" i="97" s="1"/>
  <c r="H43" i="97" s="1"/>
  <c r="D43" i="111"/>
  <c r="F43" i="111" s="1"/>
  <c r="H43" i="111" s="1"/>
  <c r="D43" i="93"/>
  <c r="F43" i="93" s="1"/>
  <c r="H43" i="93" s="1"/>
  <c r="D43" i="109"/>
  <c r="F43" i="109" s="1"/>
  <c r="H43" i="109" s="1"/>
  <c r="D43" i="94"/>
  <c r="F43" i="94" s="1"/>
  <c r="H43" i="94" s="1"/>
  <c r="D43" i="112"/>
  <c r="F43" i="112" s="1"/>
  <c r="H43" i="112" s="1"/>
  <c r="D43" i="103"/>
  <c r="F43" i="103" s="1"/>
  <c r="H43" i="103" s="1"/>
  <c r="D43" i="99"/>
  <c r="F43" i="99" s="1"/>
  <c r="H43" i="99" s="1"/>
  <c r="D43" i="108"/>
  <c r="F43" i="108" s="1"/>
  <c r="H43" i="108" s="1"/>
  <c r="D43" i="107"/>
  <c r="F43" i="107" s="1"/>
  <c r="H43" i="107" s="1"/>
  <c r="D43" i="102"/>
  <c r="F43" i="102" s="1"/>
  <c r="H43" i="102" s="1"/>
  <c r="D43" i="95"/>
  <c r="F43" i="95" s="1"/>
  <c r="H43" i="95" s="1"/>
  <c r="D44" i="120"/>
  <c r="F44" i="120" s="1"/>
  <c r="H44" i="120" s="1"/>
  <c r="D44" i="114"/>
  <c r="F44" i="114" s="1"/>
  <c r="H44" i="114" s="1"/>
  <c r="D44" i="116"/>
  <c r="F44" i="116" s="1"/>
  <c r="H44" i="116" s="1"/>
  <c r="D44" i="117"/>
  <c r="F44" i="117" s="1"/>
  <c r="H44" i="117" s="1"/>
  <c r="D44" i="126"/>
  <c r="F44" i="126" s="1"/>
  <c r="H44" i="126" s="1"/>
  <c r="D44" i="119"/>
  <c r="F44" i="119" s="1"/>
  <c r="H44" i="119" s="1"/>
  <c r="D44" i="115"/>
  <c r="F44" i="115" s="1"/>
  <c r="H44" i="115" s="1"/>
  <c r="D44" i="118"/>
  <c r="F44" i="118" s="1"/>
  <c r="H44" i="118" s="1"/>
  <c r="D44" i="113"/>
  <c r="F44" i="113" s="1"/>
  <c r="H44" i="113" s="1"/>
  <c r="D44" i="105"/>
  <c r="F44" i="105" s="1"/>
  <c r="H44" i="105" s="1"/>
  <c r="D44" i="104"/>
  <c r="F44" i="104" s="1"/>
  <c r="H44" i="104" s="1"/>
  <c r="D44" i="100"/>
  <c r="F44" i="100" s="1"/>
  <c r="H44" i="100" s="1"/>
  <c r="D44" i="96"/>
  <c r="F44" i="96" s="1"/>
  <c r="H44" i="96" s="1"/>
  <c r="D44" i="99"/>
  <c r="F44" i="99" s="1"/>
  <c r="H44" i="99" s="1"/>
  <c r="D44" i="111"/>
  <c r="F44" i="111" s="1"/>
  <c r="H44" i="111" s="1"/>
  <c r="D44" i="110"/>
  <c r="F44" i="110" s="1"/>
  <c r="H44" i="110" s="1"/>
  <c r="D44" i="106"/>
  <c r="F44" i="106" s="1"/>
  <c r="H44" i="106" s="1"/>
  <c r="D44" i="98"/>
  <c r="F44" i="98" s="1"/>
  <c r="H44" i="98" s="1"/>
  <c r="D44" i="97"/>
  <c r="F44" i="97" s="1"/>
  <c r="H44" i="97" s="1"/>
  <c r="D44" i="93"/>
  <c r="F44" i="93" s="1"/>
  <c r="H44" i="93" s="1"/>
  <c r="D44" i="109"/>
  <c r="F44" i="109" s="1"/>
  <c r="H44" i="109" s="1"/>
  <c r="D44" i="103"/>
  <c r="F44" i="103" s="1"/>
  <c r="H44" i="103" s="1"/>
  <c r="D44" i="94"/>
  <c r="F44" i="94" s="1"/>
  <c r="H44" i="94" s="1"/>
  <c r="D44" i="112"/>
  <c r="F44" i="112" s="1"/>
  <c r="H44" i="112" s="1"/>
  <c r="D44" i="108"/>
  <c r="F44" i="108" s="1"/>
  <c r="H44" i="108" s="1"/>
  <c r="D44" i="107"/>
  <c r="F44" i="107" s="1"/>
  <c r="H44" i="107" s="1"/>
  <c r="D44" i="102"/>
  <c r="F44" i="102" s="1"/>
  <c r="H44" i="102" s="1"/>
  <c r="D44" i="95"/>
  <c r="F44" i="95" s="1"/>
  <c r="H44" i="95" s="1"/>
  <c r="D44" i="101"/>
  <c r="F44" i="101" s="1"/>
  <c r="H44" i="101" s="1"/>
  <c r="H15" i="9"/>
  <c r="F10" i="51"/>
  <c r="F13" i="51"/>
  <c r="D85" i="2"/>
  <c r="B85" i="2"/>
  <c r="F23" i="1"/>
  <c r="D80" i="2"/>
  <c r="B80" i="2"/>
  <c r="D74" i="2"/>
  <c r="F24" i="1" s="1"/>
  <c r="B74" i="2"/>
  <c r="F21" i="1"/>
  <c r="F19" i="1"/>
  <c r="F20" i="1"/>
  <c r="F13" i="1"/>
  <c r="F16" i="1"/>
  <c r="F11" i="1"/>
  <c r="F17" i="1"/>
  <c r="F7" i="1"/>
  <c r="F12" i="1"/>
  <c r="F10" i="1"/>
  <c r="F14" i="1"/>
  <c r="F15" i="1"/>
  <c r="D44" i="92"/>
  <c r="F44" i="92" s="1"/>
  <c r="H44" i="92" s="1"/>
  <c r="D44" i="91"/>
  <c r="F44" i="91" s="1"/>
  <c r="D43" i="87"/>
  <c r="F43" i="87" s="1"/>
  <c r="H43" i="87" s="1"/>
  <c r="D43" i="91"/>
  <c r="F43" i="91" s="1"/>
  <c r="D43" i="86"/>
  <c r="F43" i="86" s="1"/>
  <c r="H43" i="86" s="1"/>
  <c r="D43" i="88"/>
  <c r="F43" i="88" s="1"/>
  <c r="D43" i="92"/>
  <c r="F43" i="92" s="1"/>
  <c r="H43" i="92" s="1"/>
  <c r="D43" i="89"/>
  <c r="F43" i="89" s="1"/>
  <c r="D40" i="85"/>
  <c r="F40" i="85" s="1"/>
  <c r="H40" i="85" s="1"/>
  <c r="B49" i="2"/>
  <c r="B45" i="2"/>
  <c r="J14" i="51"/>
  <c r="D44" i="86"/>
  <c r="F44" i="86" s="1"/>
  <c r="H44" i="86" s="1"/>
  <c r="D44" i="89"/>
  <c r="F44" i="89" s="1"/>
  <c r="D41" i="85"/>
  <c r="F41" i="85" s="1"/>
  <c r="H41" i="85" s="1"/>
  <c r="D44" i="87"/>
  <c r="F44" i="87" s="1"/>
  <c r="H44" i="87" s="1"/>
  <c r="D44" i="88"/>
  <c r="F44" i="88" s="1"/>
  <c r="H39" i="44"/>
  <c r="D40" i="84"/>
  <c r="F40" i="84" s="1"/>
  <c r="H40" i="84" s="1"/>
  <c r="D40" i="83"/>
  <c r="F40" i="83" s="1"/>
  <c r="H40" i="83" s="1"/>
  <c r="D43" i="78"/>
  <c r="F43" i="78" s="1"/>
  <c r="H43" i="78" s="1"/>
  <c r="D40" i="80"/>
  <c r="F40" i="80" s="1"/>
  <c r="H40" i="80" s="1"/>
  <c r="D43" i="77"/>
  <c r="F43" i="77" s="1"/>
  <c r="H43" i="77" s="1"/>
  <c r="D43" i="81"/>
  <c r="F43" i="81" s="1"/>
  <c r="H43" i="81" s="1"/>
  <c r="D43" i="79"/>
  <c r="F43" i="79" s="1"/>
  <c r="H43" i="79" s="1"/>
  <c r="D43" i="4"/>
  <c r="F43" i="4" s="1"/>
  <c r="H43" i="4" s="1"/>
  <c r="D44" i="4"/>
  <c r="F44" i="4" s="1"/>
  <c r="H44" i="4" s="1"/>
  <c r="D41" i="84"/>
  <c r="F41" i="84" s="1"/>
  <c r="H41" i="84" s="1"/>
  <c r="D41" i="83"/>
  <c r="F41" i="83" s="1"/>
  <c r="H41" i="83" s="1"/>
  <c r="D44" i="78"/>
  <c r="F44" i="78" s="1"/>
  <c r="H44" i="78" s="1"/>
  <c r="D41" i="80"/>
  <c r="F41" i="80" s="1"/>
  <c r="H41" i="80" s="1"/>
  <c r="D44" i="77"/>
  <c r="F44" i="77" s="1"/>
  <c r="H44" i="77" s="1"/>
  <c r="D44" i="79"/>
  <c r="F44" i="79" s="1"/>
  <c r="H44" i="79" s="1"/>
  <c r="D44" i="81"/>
  <c r="F44" i="81" s="1"/>
  <c r="H44" i="81" s="1"/>
  <c r="D44" i="44"/>
  <c r="F44" i="44" s="1"/>
  <c r="H44" i="44" s="1"/>
  <c r="D45" i="8"/>
  <c r="F45" i="8" s="1"/>
  <c r="H45" i="8" s="1"/>
  <c r="D44" i="9"/>
  <c r="F44" i="9" s="1"/>
  <c r="H44" i="9" s="1"/>
  <c r="G19" i="9"/>
  <c r="H19" i="9" s="1"/>
  <c r="G16" i="8"/>
  <c r="H16" i="8" s="1"/>
  <c r="G19" i="8"/>
  <c r="H19" i="8" s="1"/>
  <c r="G17" i="44"/>
  <c r="H17" i="44" s="1"/>
  <c r="G21" i="44"/>
  <c r="H21" i="44" s="1"/>
  <c r="G17" i="8"/>
  <c r="H17" i="8" s="1"/>
  <c r="G20" i="9"/>
  <c r="H20" i="9" s="1"/>
  <c r="G21" i="9"/>
  <c r="H21" i="9" s="1"/>
  <c r="G15" i="44"/>
  <c r="H15" i="44" s="1"/>
  <c r="D43" i="44"/>
  <c r="F43" i="44" s="1"/>
  <c r="H43" i="44" s="1"/>
  <c r="D44" i="8"/>
  <c r="F44" i="8" s="1"/>
  <c r="H44" i="8" s="1"/>
  <c r="D43" i="9"/>
  <c r="F43" i="9" s="1"/>
  <c r="H43" i="9" s="1"/>
  <c r="D9" i="77"/>
  <c r="D9" i="44"/>
  <c r="D9" i="4"/>
  <c r="F41" i="1" l="1"/>
  <c r="H41" i="1" s="1"/>
  <c r="F40" i="1"/>
  <c r="H40" i="1" s="1"/>
  <c r="F39" i="1"/>
  <c r="H39" i="1" s="1"/>
  <c r="F38" i="1"/>
  <c r="H38" i="1" s="1"/>
  <c r="F37" i="1"/>
  <c r="H37" i="1" s="1"/>
  <c r="F35" i="1"/>
  <c r="H35" i="1" s="1"/>
  <c r="F34" i="1"/>
  <c r="H34" i="1" s="1"/>
  <c r="F33" i="1"/>
  <c r="H33" i="1" s="1"/>
  <c r="F30" i="1"/>
  <c r="H30" i="1" s="1"/>
  <c r="F31" i="1"/>
  <c r="H31" i="1" s="1"/>
  <c r="H46" i="107"/>
  <c r="G22" i="107" s="1"/>
  <c r="H22" i="107" s="1"/>
  <c r="H23" i="107" s="1"/>
  <c r="H48" i="107" s="1"/>
  <c r="D46" i="75" s="1"/>
  <c r="H46" i="105"/>
  <c r="G22" i="105" s="1"/>
  <c r="H22" i="105" s="1"/>
  <c r="H23" i="105" s="1"/>
  <c r="H48" i="105" s="1"/>
  <c r="D66" i="75" s="1"/>
  <c r="H46" i="114"/>
  <c r="G22" i="114" s="1"/>
  <c r="H22" i="114" s="1"/>
  <c r="H23" i="114" s="1"/>
  <c r="H48" i="114" s="1"/>
  <c r="D15" i="75" s="1"/>
  <c r="H46" i="94"/>
  <c r="G22" i="94" s="1"/>
  <c r="H22" i="94" s="1"/>
  <c r="H46" i="110"/>
  <c r="G22" i="110" s="1"/>
  <c r="H22" i="110" s="1"/>
  <c r="H23" i="110" s="1"/>
  <c r="H48" i="110" s="1"/>
  <c r="D68" i="75" s="1"/>
  <c r="H21" i="1" s="1"/>
  <c r="H46" i="115"/>
  <c r="G22" i="115" s="1"/>
  <c r="H22" i="115" s="1"/>
  <c r="H23" i="115" s="1"/>
  <c r="H48" i="115" s="1"/>
  <c r="D14" i="75" s="1"/>
  <c r="H46" i="111"/>
  <c r="G22" i="111" s="1"/>
  <c r="H22" i="111" s="1"/>
  <c r="H23" i="111" s="1"/>
  <c r="H48" i="111" s="1"/>
  <c r="D49" i="75" s="1"/>
  <c r="H46" i="95"/>
  <c r="G22" i="95" s="1"/>
  <c r="H22" i="95" s="1"/>
  <c r="H46" i="109"/>
  <c r="G22" i="109" s="1"/>
  <c r="H22" i="109" s="1"/>
  <c r="H23" i="109" s="1"/>
  <c r="H48" i="109" s="1"/>
  <c r="D48" i="75" s="1"/>
  <c r="H46" i="96"/>
  <c r="G22" i="96" s="1"/>
  <c r="H22" i="96" s="1"/>
  <c r="H46" i="117"/>
  <c r="G22" i="117" s="1"/>
  <c r="H22" i="117" s="1"/>
  <c r="H23" i="117" s="1"/>
  <c r="H48" i="117" s="1"/>
  <c r="D12" i="75" s="1"/>
  <c r="H46" i="102"/>
  <c r="G22" i="102" s="1"/>
  <c r="H22" i="102" s="1"/>
  <c r="H46" i="93"/>
  <c r="G22" i="93" s="1"/>
  <c r="H22" i="93" s="1"/>
  <c r="H23" i="93" s="1"/>
  <c r="H48" i="93" s="1"/>
  <c r="D9" i="75" s="1"/>
  <c r="H46" i="104"/>
  <c r="G22" i="104" s="1"/>
  <c r="H22" i="104" s="1"/>
  <c r="H23" i="104" s="1"/>
  <c r="H48" i="104" s="1"/>
  <c r="H46" i="116"/>
  <c r="G22" i="116" s="1"/>
  <c r="H22" i="116" s="1"/>
  <c r="H23" i="116" s="1"/>
  <c r="H48" i="116" s="1"/>
  <c r="D13" i="75" s="1"/>
  <c r="H46" i="108"/>
  <c r="G22" i="108" s="1"/>
  <c r="H22" i="108" s="1"/>
  <c r="H23" i="108" s="1"/>
  <c r="H48" i="108" s="1"/>
  <c r="D47" i="75" s="1"/>
  <c r="H46" i="97"/>
  <c r="G22" i="97" s="1"/>
  <c r="H22" i="97" s="1"/>
  <c r="H46" i="101"/>
  <c r="G22" i="101" s="1"/>
  <c r="H22" i="101" s="1"/>
  <c r="H23" i="101" s="1"/>
  <c r="H48" i="101" s="1"/>
  <c r="D59" i="75" s="1"/>
  <c r="H16" i="1" s="1"/>
  <c r="H46" i="126"/>
  <c r="G22" i="126" s="1"/>
  <c r="H22" i="126" s="1"/>
  <c r="H23" i="126" s="1"/>
  <c r="H48" i="126" s="1"/>
  <c r="D27" i="75" s="1"/>
  <c r="H46" i="99"/>
  <c r="G22" i="99" s="1"/>
  <c r="H22" i="99" s="1"/>
  <c r="H46" i="98"/>
  <c r="G22" i="98" s="1"/>
  <c r="H22" i="98" s="1"/>
  <c r="H23" i="98" s="1"/>
  <c r="H48" i="98" s="1"/>
  <c r="D56" i="75" s="1"/>
  <c r="H13" i="1" s="1"/>
  <c r="H46" i="113"/>
  <c r="G22" i="113" s="1"/>
  <c r="H22" i="113" s="1"/>
  <c r="H23" i="113" s="1"/>
  <c r="H48" i="113" s="1"/>
  <c r="D69" i="75" s="1"/>
  <c r="H46" i="120"/>
  <c r="G22" i="120" s="1"/>
  <c r="H22" i="120" s="1"/>
  <c r="H23" i="120" s="1"/>
  <c r="H48" i="120" s="1"/>
  <c r="D33" i="75" s="1"/>
  <c r="H46" i="103"/>
  <c r="G22" i="103" s="1"/>
  <c r="H22" i="103" s="1"/>
  <c r="H23" i="103" s="1"/>
  <c r="H48" i="103" s="1"/>
  <c r="D65" i="75" s="1"/>
  <c r="H46" i="100"/>
  <c r="G22" i="100" s="1"/>
  <c r="H22" i="100" s="1"/>
  <c r="H23" i="100" s="1"/>
  <c r="H48" i="100" s="1"/>
  <c r="D57" i="75" s="1"/>
  <c r="H14" i="1" s="1"/>
  <c r="H46" i="119"/>
  <c r="G22" i="119" s="1"/>
  <c r="H22" i="119" s="1"/>
  <c r="H23" i="119" s="1"/>
  <c r="H48" i="119" s="1"/>
  <c r="D10" i="75" s="1"/>
  <c r="H46" i="112"/>
  <c r="G22" i="112" s="1"/>
  <c r="H22" i="112" s="1"/>
  <c r="H23" i="112" s="1"/>
  <c r="H48" i="112" s="1"/>
  <c r="D25" i="75" s="1"/>
  <c r="H46" i="106"/>
  <c r="G22" i="106" s="1"/>
  <c r="H22" i="106" s="1"/>
  <c r="H23" i="106" s="1"/>
  <c r="H48" i="106" s="1"/>
  <c r="D67" i="75" s="1"/>
  <c r="H46" i="118"/>
  <c r="G22" i="118" s="1"/>
  <c r="H22" i="118" s="1"/>
  <c r="H23" i="118" s="1"/>
  <c r="H48" i="118" s="1"/>
  <c r="D11" i="75" s="1"/>
  <c r="F27" i="1"/>
  <c r="F25" i="1"/>
  <c r="H46" i="86"/>
  <c r="G22" i="86" s="1"/>
  <c r="H22" i="86" s="1"/>
  <c r="H23" i="86" s="1"/>
  <c r="H48" i="86" s="1"/>
  <c r="D23" i="75" s="1"/>
  <c r="H43" i="85"/>
  <c r="G20" i="85" s="1"/>
  <c r="H20" i="85" s="1"/>
  <c r="H21" i="85" s="1"/>
  <c r="H45" i="85" s="1"/>
  <c r="D21" i="75" s="1"/>
  <c r="H46" i="87"/>
  <c r="G22" i="87" s="1"/>
  <c r="H22" i="87" s="1"/>
  <c r="H23" i="87" s="1"/>
  <c r="H48" i="87" s="1"/>
  <c r="D24" i="75" s="1"/>
  <c r="H46" i="92"/>
  <c r="G22" i="92" s="1"/>
  <c r="H22" i="92" s="1"/>
  <c r="H23" i="92" s="1"/>
  <c r="H48" i="92" s="1"/>
  <c r="D22" i="75" s="1"/>
  <c r="H47" i="9"/>
  <c r="G31" i="9" s="1"/>
  <c r="H31" i="9" s="1"/>
  <c r="H32" i="9" s="1"/>
  <c r="H43" i="84"/>
  <c r="G20" i="84" s="1"/>
  <c r="H20" i="84" s="1"/>
  <c r="H21" i="84" s="1"/>
  <c r="H45" i="84" s="1"/>
  <c r="H46" i="4"/>
  <c r="G22" i="4" s="1"/>
  <c r="H22" i="4" s="1"/>
  <c r="H23" i="4" s="1"/>
  <c r="H48" i="4" s="1"/>
  <c r="H46" i="79"/>
  <c r="G22" i="79" s="1"/>
  <c r="H22" i="79" s="1"/>
  <c r="H23" i="79" s="1"/>
  <c r="H48" i="79" s="1"/>
  <c r="H46" i="77"/>
  <c r="G23" i="77" s="1"/>
  <c r="H23" i="77" s="1"/>
  <c r="H24" i="77" s="1"/>
  <c r="H48" i="77" s="1"/>
  <c r="H46" i="78"/>
  <c r="G22" i="78" s="1"/>
  <c r="H22" i="78" s="1"/>
  <c r="H23" i="78" s="1"/>
  <c r="H48" i="78" s="1"/>
  <c r="H43" i="80"/>
  <c r="G20" i="80" s="1"/>
  <c r="H20" i="80" s="1"/>
  <c r="H21" i="80" s="1"/>
  <c r="H45" i="80" s="1"/>
  <c r="H43" i="83"/>
  <c r="G20" i="83" s="1"/>
  <c r="H20" i="83" s="1"/>
  <c r="H21" i="83" s="1"/>
  <c r="H45" i="83" s="1"/>
  <c r="H48" i="8"/>
  <c r="G32" i="8" s="1"/>
  <c r="H32" i="8" s="1"/>
  <c r="H33" i="8" s="1"/>
  <c r="H47" i="44"/>
  <c r="G23" i="44" s="1"/>
  <c r="H23" i="44" s="1"/>
  <c r="H24" i="44" s="1"/>
  <c r="H49" i="44" s="1"/>
  <c r="H46" i="81"/>
  <c r="G22" i="81" s="1"/>
  <c r="H22" i="81" s="1"/>
  <c r="H23" i="81" s="1"/>
  <c r="H48" i="81" s="1"/>
  <c r="H24" i="9"/>
  <c r="H49" i="9" s="1"/>
  <c r="H25" i="8"/>
  <c r="H36" i="1" l="1"/>
  <c r="K36" i="1" s="1"/>
  <c r="H32" i="1"/>
  <c r="K32" i="1" s="1"/>
  <c r="H29" i="1"/>
  <c r="K29" i="1" s="1"/>
  <c r="H50" i="8"/>
  <c r="H24" i="1" s="1"/>
  <c r="H27" i="1"/>
  <c r="D20" i="75"/>
  <c r="D19" i="75"/>
  <c r="D8" i="75"/>
  <c r="D7" i="75"/>
  <c r="H7" i="1"/>
  <c r="D3" i="75"/>
  <c r="D5" i="75"/>
  <c r="D4" i="75"/>
  <c r="D6" i="75"/>
  <c r="B53" i="2"/>
  <c r="H6" i="1" l="1"/>
  <c r="K6" i="1" s="1"/>
  <c r="H26" i="1"/>
  <c r="K26" i="1" s="1"/>
  <c r="H28" i="1"/>
  <c r="D9" i="8"/>
  <c r="D9" i="9" l="1"/>
  <c r="H19" i="1" l="1"/>
  <c r="H20" i="1"/>
  <c r="G44" i="91"/>
  <c r="H44" i="91" s="1"/>
  <c r="G44" i="88"/>
  <c r="H44" i="88" s="1"/>
  <c r="G44" i="89"/>
  <c r="H44" i="89" s="1"/>
  <c r="G43" i="89"/>
  <c r="H43" i="89" s="1"/>
  <c r="G43" i="88"/>
  <c r="H43" i="88" s="1"/>
  <c r="G43" i="91"/>
  <c r="H43" i="91" s="1"/>
  <c r="H18" i="1" l="1"/>
  <c r="K18" i="1" s="1"/>
  <c r="H46" i="89"/>
  <c r="G22" i="89" s="1"/>
  <c r="H22" i="89" s="1"/>
  <c r="H23" i="89" s="1"/>
  <c r="H48" i="89" s="1"/>
  <c r="D37" i="75" s="1"/>
  <c r="H46" i="88"/>
  <c r="G22" i="88" s="1"/>
  <c r="H22" i="88" s="1"/>
  <c r="H46" i="91"/>
  <c r="G22" i="91" s="1"/>
  <c r="H22" i="91" s="1"/>
  <c r="H23" i="91" s="1"/>
  <c r="H48" i="91" s="1"/>
  <c r="D45" i="75" s="1"/>
  <c r="H25" i="1" l="1"/>
  <c r="H23" i="1"/>
  <c r="H16" i="95"/>
  <c r="H15" i="95"/>
  <c r="H19" i="88"/>
  <c r="H19" i="95"/>
  <c r="H16" i="99"/>
  <c r="H23" i="99" s="1"/>
  <c r="H48" i="99" s="1"/>
  <c r="D58" i="75" s="1"/>
  <c r="H15" i="1" s="1"/>
  <c r="H16" i="88"/>
  <c r="H16" i="94"/>
  <c r="H18" i="94"/>
  <c r="H15" i="102"/>
  <c r="H23" i="102" s="1"/>
  <c r="H48" i="102" s="1"/>
  <c r="D60" i="75" s="1"/>
  <c r="H17" i="1" s="1"/>
  <c r="H18" i="95"/>
  <c r="H19" i="94"/>
  <c r="H17" i="96"/>
  <c r="H23" i="96" s="1"/>
  <c r="H48" i="96" s="1"/>
  <c r="D54" i="75" s="1"/>
  <c r="H16" i="97"/>
  <c r="H23" i="97" s="1"/>
  <c r="H48" i="97" s="1"/>
  <c r="D55" i="75" s="1"/>
  <c r="H12" i="1" s="1"/>
  <c r="H15" i="94"/>
  <c r="H22" i="1" l="1"/>
  <c r="K22" i="1" s="1"/>
  <c r="H23" i="88"/>
  <c r="H48" i="88" s="1"/>
  <c r="D38" i="75" s="1"/>
  <c r="H23" i="95"/>
  <c r="H48" i="95" s="1"/>
  <c r="D53" i="75" s="1"/>
  <c r="H11" i="1" s="1"/>
  <c r="H23" i="94"/>
  <c r="H48" i="94" s="1"/>
  <c r="D52" i="75" s="1"/>
  <c r="H10" i="1" s="1"/>
  <c r="H9" i="1" l="1"/>
  <c r="H5" i="1" l="1"/>
  <c r="H42" i="1" s="1"/>
  <c r="L42" i="1" s="1"/>
  <c r="K9" i="1"/>
  <c r="K42" i="1" s="1"/>
  <c r="H44" i="1"/>
  <c r="J11" i="90"/>
  <c r="I31" i="90" s="1"/>
  <c r="H45" i="1"/>
  <c r="H43" i="1" l="1"/>
  <c r="O32" i="90" s="1"/>
  <c r="J27" i="90"/>
  <c r="I27" i="90" s="1"/>
  <c r="I29" i="90"/>
  <c r="L29" i="90" s="1"/>
  <c r="J19" i="90"/>
  <c r="I19" i="90" s="1"/>
  <c r="O11" i="90"/>
  <c r="H46" i="1"/>
  <c r="H47" i="1" s="1"/>
  <c r="J26" i="90"/>
  <c r="I26" i="90" s="1"/>
  <c r="J34" i="90"/>
  <c r="J36" i="90"/>
  <c r="J21" i="90"/>
  <c r="I21" i="90" s="1"/>
  <c r="J25" i="90"/>
  <c r="I25" i="90" s="1"/>
  <c r="J18" i="90"/>
  <c r="I18" i="90" s="1"/>
  <c r="L18" i="90" s="1"/>
  <c r="J24" i="90"/>
  <c r="I24" i="90" s="1"/>
  <c r="J22" i="90"/>
  <c r="I22" i="90" s="1"/>
  <c r="I15" i="90"/>
  <c r="I30" i="90"/>
  <c r="J20" i="90"/>
  <c r="I20" i="90" s="1"/>
  <c r="J23" i="90"/>
  <c r="I23" i="90" s="1"/>
  <c r="L23" i="90" s="1"/>
  <c r="I14" i="90"/>
  <c r="I28" i="90" l="1"/>
  <c r="I13" i="90"/>
  <c r="I17" i="90"/>
  <c r="J17" i="90"/>
  <c r="J32" i="90" s="1"/>
  <c r="I32" i="90" l="1"/>
  <c r="I38" i="90" s="1"/>
  <c r="J38" i="90"/>
  <c r="M32" i="90"/>
  <c r="D9" i="123" l="1"/>
  <c r="D9" i="121"/>
  <c r="D9" i="120"/>
  <c r="D9" i="114"/>
  <c r="G43" i="121" l="1"/>
  <c r="H43" i="121" s="1"/>
  <c r="G43" i="123"/>
  <c r="H43" i="123" s="1"/>
  <c r="G44" i="122"/>
  <c r="H44" i="122" s="1"/>
  <c r="G43" i="122"/>
  <c r="H43" i="122" s="1"/>
  <c r="G44" i="121"/>
  <c r="H44" i="121" s="1"/>
  <c r="G44" i="124"/>
  <c r="H44" i="124" s="1"/>
  <c r="G44" i="123"/>
  <c r="H44" i="123" s="1"/>
  <c r="G43" i="124"/>
  <c r="H43" i="124" s="1"/>
  <c r="H46" i="124" l="1"/>
  <c r="G22" i="124" s="1"/>
  <c r="H22" i="124" s="1"/>
  <c r="H23" i="124" s="1"/>
  <c r="H48" i="124" s="1"/>
  <c r="D29" i="75" s="1"/>
  <c r="H46" i="122"/>
  <c r="G22" i="122" s="1"/>
  <c r="H22" i="122" s="1"/>
  <c r="H23" i="122" s="1"/>
  <c r="H48" i="122" s="1"/>
  <c r="D31" i="75" s="1"/>
  <c r="H46" i="123"/>
  <c r="G22" i="123" s="1"/>
  <c r="H22" i="123" s="1"/>
  <c r="H23" i="123" s="1"/>
  <c r="H48" i="123" s="1"/>
  <c r="D30" i="75" s="1"/>
  <c r="H46" i="121"/>
  <c r="G22" i="121" s="1"/>
  <c r="H22" i="121" s="1"/>
  <c r="H23" i="121" s="1"/>
  <c r="H48" i="121" s="1"/>
  <c r="D32" i="75" s="1"/>
</calcChain>
</file>

<file path=xl/sharedStrings.xml><?xml version="1.0" encoding="utf-8"?>
<sst xmlns="http://schemas.openxmlformats.org/spreadsheetml/2006/main" count="4635" uniqueCount="693">
  <si>
    <t xml:space="preserve">ALCALDÍA MUNICIPAL DE RIOBLANCO TOLIMA
NIT. 890.702.040 – 7
SECRETARIA DE PLANEACION E INFRAESTRUCTURA
</t>
  </si>
  <si>
    <t>PRESUPUESTO DE OBRA</t>
  </si>
  <si>
    <t xml:space="preserve">OBJETO: </t>
  </si>
  <si>
    <t>ITEM</t>
  </si>
  <si>
    <t>DESCRIPCION</t>
  </si>
  <si>
    <t>UND</t>
  </si>
  <si>
    <t>CANT.</t>
  </si>
  <si>
    <t>VR. UNIT</t>
  </si>
  <si>
    <t>VR.TOTAL</t>
  </si>
  <si>
    <t>M2</t>
  </si>
  <si>
    <t>ML</t>
  </si>
  <si>
    <t>M3</t>
  </si>
  <si>
    <t>KG</t>
  </si>
  <si>
    <t>MEMORIA DE CANTIDADES DE OBRA</t>
  </si>
  <si>
    <t>PROYECTO:</t>
  </si>
  <si>
    <t>ACTIVIDAD:</t>
  </si>
  <si>
    <t>MEDIDAS</t>
  </si>
  <si>
    <t>TOTAL</t>
  </si>
  <si>
    <t>UNIDAD:</t>
  </si>
  <si>
    <t>LONG</t>
  </si>
  <si>
    <t>ANCHO</t>
  </si>
  <si>
    <t>ALTURA</t>
  </si>
  <si>
    <t>CANTIDAD</t>
  </si>
  <si>
    <t>ALTO</t>
  </si>
  <si>
    <t>ANALISIS DE PRECIOS UNITARIOS</t>
  </si>
  <si>
    <t>SECRETARIA DE PLANEACIÓN E INFRAESTRUCTURA</t>
  </si>
  <si>
    <t>ALCALDÍA MUNICIPAL DE RIOBLANCO - TOLIMA</t>
  </si>
  <si>
    <r>
      <rPr>
        <b/>
        <sz val="10"/>
        <color theme="1"/>
        <rFont val="Calibri"/>
        <family val="2"/>
        <scheme val="minor"/>
      </rPr>
      <t>OBJETO</t>
    </r>
    <r>
      <rPr>
        <sz val="10"/>
        <color theme="1"/>
        <rFont val="Calibri"/>
        <family val="2"/>
        <scheme val="minor"/>
      </rPr>
      <t xml:space="preserve">: </t>
    </r>
  </si>
  <si>
    <t>UNIDAD</t>
  </si>
  <si>
    <t>I. MATERIALES</t>
  </si>
  <si>
    <t>CANT</t>
  </si>
  <si>
    <t>V. UNITARIO</t>
  </si>
  <si>
    <t>V. PARCIAL</t>
  </si>
  <si>
    <t>Herramienta menor</t>
  </si>
  <si>
    <t>%M.O</t>
  </si>
  <si>
    <t>SUBTOTAL</t>
  </si>
  <si>
    <t>II. EQUIPO</t>
  </si>
  <si>
    <t>MARCA</t>
  </si>
  <si>
    <t>TARIFA/HORA</t>
  </si>
  <si>
    <t>RENDIMIENTO</t>
  </si>
  <si>
    <t>III. TRANSPORTE</t>
  </si>
  <si>
    <t>MATERIAL</t>
  </si>
  <si>
    <t>VOL. O PESO</t>
  </si>
  <si>
    <t>DISTANCIA (KM)</t>
  </si>
  <si>
    <t xml:space="preserve">CANT </t>
  </si>
  <si>
    <t>TARIFA</t>
  </si>
  <si>
    <t>IV. MANO DE OBRA</t>
  </si>
  <si>
    <t>V. HORA      +PRESTACIONES</t>
  </si>
  <si>
    <t>CANT. PERSONAS</t>
  </si>
  <si>
    <t>JORNAL TOTAL</t>
  </si>
  <si>
    <t>RENDIMIENTO HH</t>
  </si>
  <si>
    <t xml:space="preserve">OFICIAL A. </t>
  </si>
  <si>
    <t>AYUDANTE A.</t>
  </si>
  <si>
    <t>VALOR TOTAL</t>
  </si>
  <si>
    <t>Proyectó y elaboró</t>
  </si>
  <si>
    <r>
      <rPr>
        <b/>
        <sz val="10"/>
        <color indexed="8"/>
        <rFont val="Calibri"/>
        <family val="2"/>
      </rPr>
      <t>OBJETO</t>
    </r>
    <r>
      <rPr>
        <sz val="10"/>
        <color indexed="8"/>
        <rFont val="Calibri"/>
        <family val="2"/>
      </rPr>
      <t xml:space="preserve">: </t>
    </r>
  </si>
  <si>
    <t>TARIFA/DIA</t>
  </si>
  <si>
    <t>% M.O.</t>
  </si>
  <si>
    <t>V. HORA</t>
  </si>
  <si>
    <t>VOLUMEN</t>
  </si>
  <si>
    <t>CANT. M3</t>
  </si>
  <si>
    <t>CEMENTO PORTLAND 50 KG</t>
  </si>
  <si>
    <t>BLT</t>
  </si>
  <si>
    <t>CEMENTO</t>
  </si>
  <si>
    <t>AGREGADO GRUESO (TRITURADO)</t>
  </si>
  <si>
    <t>ARENA</t>
  </si>
  <si>
    <t>AGREGADO FINO (ARENA)</t>
  </si>
  <si>
    <t>TRITURADO</t>
  </si>
  <si>
    <t>AGUA</t>
  </si>
  <si>
    <t>LT</t>
  </si>
  <si>
    <t>MEZCLADORA DE CONCRETO</t>
  </si>
  <si>
    <t>VIBRADOR DE CONCRETO</t>
  </si>
  <si>
    <t>CEMENTO 50 KG</t>
  </si>
  <si>
    <t>GLN</t>
  </si>
  <si>
    <t>ACERO DE REFUERZO 60.000 PSI</t>
  </si>
  <si>
    <t>ALAMBRE NEGRO N°18</t>
  </si>
  <si>
    <t>ING. WEIMAR EDILFER MENDEZ PALOMINO</t>
  </si>
  <si>
    <t>ADMINISTRACION</t>
  </si>
  <si>
    <t>IMPREVISTOS</t>
  </si>
  <si>
    <t>UTILIDAD</t>
  </si>
  <si>
    <t>TOTAL AIU</t>
  </si>
  <si>
    <t>VALOR TOTAL PRESUPUESTO DE OBRA</t>
  </si>
  <si>
    <t xml:space="preserve">       ___________________________________________</t>
  </si>
  <si>
    <t>________________________________________</t>
  </si>
  <si>
    <t>Und</t>
  </si>
  <si>
    <t>DEMOLICIÓN MURO, INCLUYE RETIRO DE ESCOMBROS A 5 KM</t>
  </si>
  <si>
    <t xml:space="preserve">TALADRO DEMOLEDOR </t>
  </si>
  <si>
    <t>TALADRO DEMOLEDOR ELÉCTRICO</t>
  </si>
  <si>
    <t>LISTON DE 4CM X 4CM</t>
  </si>
  <si>
    <t>PUNTILLA DE 2 1/2"</t>
  </si>
  <si>
    <t>LB</t>
  </si>
  <si>
    <t>TABLA DE 3 X 0.25M</t>
  </si>
  <si>
    <t>CUARTON DE 0.05M X 0.10M</t>
  </si>
  <si>
    <t>MALLA ELÉCTROSOLDADA  4 MM</t>
  </si>
  <si>
    <t>ALAMBRE NEGRO No 18</t>
  </si>
  <si>
    <t>Kg</t>
  </si>
  <si>
    <t>RECEBO</t>
  </si>
  <si>
    <t xml:space="preserve">                            DESCRIPCIÓN</t>
  </si>
  <si>
    <t>PROMEDIO</t>
  </si>
  <si>
    <t>DISTANCIA KM</t>
  </si>
  <si>
    <t>TRITURADO 1/2"</t>
  </si>
  <si>
    <t>Puntilla de 2 1/2"</t>
  </si>
  <si>
    <t>Lb</t>
  </si>
  <si>
    <t>ACERO W 60</t>
  </si>
  <si>
    <t>TABLA DE 3M X 0.25M</t>
  </si>
  <si>
    <t>DOCENA</t>
  </si>
  <si>
    <t>LAVAMANOS COMPLETO</t>
  </si>
  <si>
    <t>TUBO SANITARIO 4" TIPO PESADO X 6 METROS</t>
  </si>
  <si>
    <t>TUBO PRESIÓN DE 1/2" RDE 9 X 6M</t>
  </si>
  <si>
    <t>CODO PRESIÓN DE 1/2"</t>
  </si>
  <si>
    <t>ADAPTADOR MACHO DE 1/2"</t>
  </si>
  <si>
    <t>BOQUILLA PARA CERÁMICA</t>
  </si>
  <si>
    <t>VINILO TIPO 1</t>
  </si>
  <si>
    <t>GALÓN</t>
  </si>
  <si>
    <t>CEMENTO BLANCO</t>
  </si>
  <si>
    <t>GRAVILLA No 3 (PARA ANDEN)</t>
  </si>
  <si>
    <t>CUARTON DE 5CM X 10CM</t>
  </si>
  <si>
    <t>ORINAL CON ACCESORIOS</t>
  </si>
  <si>
    <t>CERÁMICA PARA MURO</t>
  </si>
  <si>
    <t>CERÁMICA  PARA PISO</t>
  </si>
  <si>
    <t>PEGANTE PARA CERÁMICA</t>
  </si>
  <si>
    <t>SOLDADURA PVC  PAVCO</t>
  </si>
  <si>
    <t>LIMPIADOR PVC</t>
  </si>
  <si>
    <t>TUBO SANITARIO 2" SEMIPESADO</t>
  </si>
  <si>
    <t>REJILLA LVP METÁLICA 4"</t>
  </si>
  <si>
    <t>YEE REDUCIDA DE 3 X 2"</t>
  </si>
  <si>
    <t>ARENA PARA PAÑETE</t>
  </si>
  <si>
    <t>LISTÓN DE 0.04M X 0.04M</t>
  </si>
  <si>
    <t>LISTON DE 0.04M X 0.04M</t>
  </si>
  <si>
    <t>DIVISIÓN EN ACRILICO</t>
  </si>
  <si>
    <t>BARANDA METÁLICA</t>
  </si>
  <si>
    <t>MALLA PLÁSTICA MULTIUSOS 7MM X 7MM H = 100CMM LONGITUD 30 M</t>
  </si>
  <si>
    <t>ROOLLO</t>
  </si>
  <si>
    <t>CODO SANITARIO DE 4"</t>
  </si>
  <si>
    <t>UNION PRESIÓN DE 1/2"</t>
  </si>
  <si>
    <t>PORTÓN METÁLICO CALIBRE 18 CON ANTICORROSIVO</t>
  </si>
  <si>
    <t>CARCAMO METÁLICO DE 1.30 X 0.33M</t>
  </si>
  <si>
    <t>VALOR COSTO DIRECTO</t>
  </si>
  <si>
    <t>LISTADO DE MANO DE OBRA</t>
  </si>
  <si>
    <t>unidad</t>
  </si>
  <si>
    <t>Ítem</t>
  </si>
  <si>
    <t>VALOR ($ COP)</t>
  </si>
  <si>
    <t>OBSERVACIONES</t>
  </si>
  <si>
    <t>mes</t>
  </si>
  <si>
    <t>Salario mínimo legal mensual vigente - SMLMV básico 2025</t>
  </si>
  <si>
    <t>Subsidio de transporte 2025</t>
  </si>
  <si>
    <t>Salario mínimo legal mensual vigente - SMLMV 2025 + Subsidio de transporte 2025</t>
  </si>
  <si>
    <t>día</t>
  </si>
  <si>
    <t>Jornal + subsidio de transporte 2025</t>
  </si>
  <si>
    <t>%</t>
  </si>
  <si>
    <t>Factor prestacional INVIAS vigente</t>
  </si>
  <si>
    <t>Jornal básico con factor prestacional</t>
  </si>
  <si>
    <t>salario basico SMLMV 2025 con factor prestacional</t>
  </si>
  <si>
    <t>#</t>
  </si>
  <si>
    <t>Código</t>
  </si>
  <si>
    <t>Insumo</t>
  </si>
  <si>
    <t>Precio ($ COP)</t>
  </si>
  <si>
    <t>Factor de Jornal 2025</t>
  </si>
  <si>
    <t>A0100030</t>
  </si>
  <si>
    <t xml:space="preserve">Maestro </t>
  </si>
  <si>
    <t>A0100150</t>
  </si>
  <si>
    <t>Ayudante</t>
  </si>
  <si>
    <t>A0100190</t>
  </si>
  <si>
    <t>Almacenista</t>
  </si>
  <si>
    <t>A0030010</t>
  </si>
  <si>
    <t>Obrero</t>
  </si>
  <si>
    <t>A0030020</t>
  </si>
  <si>
    <t>Obrero (2)</t>
  </si>
  <si>
    <t>A0030030</t>
  </si>
  <si>
    <t>Obrero (3)</t>
  </si>
  <si>
    <t>A0030040</t>
  </si>
  <si>
    <t>Obrero (4)</t>
  </si>
  <si>
    <t>A0030050</t>
  </si>
  <si>
    <t>Obrero (5)</t>
  </si>
  <si>
    <t>A0030060</t>
  </si>
  <si>
    <t>Obrero (6)</t>
  </si>
  <si>
    <t>A0030070</t>
  </si>
  <si>
    <t>Obrero (7)</t>
  </si>
  <si>
    <t>A0030080</t>
  </si>
  <si>
    <t>Obrero (8)</t>
  </si>
  <si>
    <t>A0030090</t>
  </si>
  <si>
    <t>Obrero (9)</t>
  </si>
  <si>
    <t>A0030100</t>
  </si>
  <si>
    <t>Obrero (10)</t>
  </si>
  <si>
    <t>A0100060</t>
  </si>
  <si>
    <t>Obrero (prueba de carga)</t>
  </si>
  <si>
    <t>A0100200</t>
  </si>
  <si>
    <t xml:space="preserve">Obrero de hincado </t>
  </si>
  <si>
    <t>A0030120</t>
  </si>
  <si>
    <t>Obreros de hincado (2)</t>
  </si>
  <si>
    <t>A0100210</t>
  </si>
  <si>
    <t xml:space="preserve">Obrero de izado </t>
  </si>
  <si>
    <t>A0030110</t>
  </si>
  <si>
    <t>Obreros de izado (2)</t>
  </si>
  <si>
    <t>A0040010</t>
  </si>
  <si>
    <t>Oficial</t>
  </si>
  <si>
    <t>A0040020</t>
  </si>
  <si>
    <t>Oficial (2)</t>
  </si>
  <si>
    <t>A0040030</t>
  </si>
  <si>
    <t>Oficial (3)</t>
  </si>
  <si>
    <t>A0100050</t>
  </si>
  <si>
    <t>Oficial + 3 Ayudantes (armado e inyección de anclajes)</t>
  </si>
  <si>
    <t>A0041000</t>
  </si>
  <si>
    <t>Oficial experto en desmontaje</t>
  </si>
  <si>
    <t>A0041001</t>
  </si>
  <si>
    <t>Oficial experto en explosivos</t>
  </si>
  <si>
    <t>A0041002</t>
  </si>
  <si>
    <t xml:space="preserve">Oficial  Obrero (3) Cuadrilla de un oficial y 3 Obreros. </t>
  </si>
  <si>
    <t>A0041008</t>
  </si>
  <si>
    <t>1 Oficial y 1 Obrero.</t>
  </si>
  <si>
    <t>A0041004</t>
  </si>
  <si>
    <t>Cuadrilla de Un Oficial y (2) Obreros.</t>
  </si>
  <si>
    <t>A0041006</t>
  </si>
  <si>
    <t>Cuadrilla de un oficial y (4) Obreros.</t>
  </si>
  <si>
    <t>A0100010</t>
  </si>
  <si>
    <t>Cuadrilla de desmontaje (10 personas)</t>
  </si>
  <si>
    <t>A0100180</t>
  </si>
  <si>
    <t>Cuadrilla de fabricación</t>
  </si>
  <si>
    <t>A0010010</t>
  </si>
  <si>
    <t>Cadenero</t>
  </si>
  <si>
    <t>A0100240</t>
  </si>
  <si>
    <t>Cadeneros (2)</t>
  </si>
  <si>
    <t>A0100220</t>
  </si>
  <si>
    <t>Carpintero</t>
  </si>
  <si>
    <t>A0100130</t>
  </si>
  <si>
    <t>Armador</t>
  </si>
  <si>
    <t>A0050010</t>
  </si>
  <si>
    <t>Paletero</t>
  </si>
  <si>
    <t>A0050020</t>
  </si>
  <si>
    <t>Paletero (2)</t>
  </si>
  <si>
    <t>A0070010</t>
  </si>
  <si>
    <t>Rastrillero</t>
  </si>
  <si>
    <t>A0070020</t>
  </si>
  <si>
    <t>Rastrilleros (2)</t>
  </si>
  <si>
    <t>A0100140</t>
  </si>
  <si>
    <t>Cortador</t>
  </si>
  <si>
    <t>A0100092</t>
  </si>
  <si>
    <t>Operador prueba de integridad</t>
  </si>
  <si>
    <t>A0100280</t>
  </si>
  <si>
    <t xml:space="preserve">Operador de maquinaria pesada </t>
  </si>
  <si>
    <t>A0060010</t>
  </si>
  <si>
    <t>Perforador</t>
  </si>
  <si>
    <t>A0100040</t>
  </si>
  <si>
    <t>Perforador + Ayudante1 + Ayudante2</t>
  </si>
  <si>
    <t>A0080010</t>
  </si>
  <si>
    <t>Soldador</t>
  </si>
  <si>
    <t>A0010083</t>
  </si>
  <si>
    <t>Soldador (2)</t>
  </si>
  <si>
    <t>A0080012</t>
  </si>
  <si>
    <t>Soldador 1A</t>
  </si>
  <si>
    <t>A0100090</t>
  </si>
  <si>
    <t>Soldador experto en montaje y pruebas</t>
  </si>
  <si>
    <t>A0040110</t>
  </si>
  <si>
    <t>Celador</t>
  </si>
  <si>
    <t>A0100160</t>
  </si>
  <si>
    <t xml:space="preserve">Inspector </t>
  </si>
  <si>
    <t>A0020010</t>
  </si>
  <si>
    <t>Inspector de fabricación y montaje</t>
  </si>
  <si>
    <t>A0100260</t>
  </si>
  <si>
    <t>Técnico electricista</t>
  </si>
  <si>
    <t>A0100250</t>
  </si>
  <si>
    <t>Técnico y/o profesionale HSEQ para obra</t>
  </si>
  <si>
    <t>A0090010</t>
  </si>
  <si>
    <t>Topógrafo</t>
  </si>
  <si>
    <t>A0100181</t>
  </si>
  <si>
    <t>Calculista</t>
  </si>
  <si>
    <t>A0100170</t>
  </si>
  <si>
    <t>Dibujante</t>
  </si>
  <si>
    <t>A0100182</t>
  </si>
  <si>
    <t>Dibujante 2</t>
  </si>
  <si>
    <t>A0100270</t>
  </si>
  <si>
    <t xml:space="preserve">Técnico agricola, técnico en botánica y/o jardinero </t>
  </si>
  <si>
    <t>A0100070</t>
  </si>
  <si>
    <t>Ingeniero de montaje y prueba</t>
  </si>
  <si>
    <t>A0100069</t>
  </si>
  <si>
    <t>Ingeniero de Montaje y Prueba Pilote 1</t>
  </si>
  <si>
    <t>A0100082</t>
  </si>
  <si>
    <t>Ingeniero Especialista prueba de  integridad</t>
  </si>
  <si>
    <t>A0100071</t>
  </si>
  <si>
    <t xml:space="preserve">Ingeniero Geotecnista </t>
  </si>
  <si>
    <t>A0100020</t>
  </si>
  <si>
    <t>Ingeniero supervisor</t>
  </si>
  <si>
    <t>A0100080</t>
  </si>
  <si>
    <t>Ingeniero supervisor y director de prueba</t>
  </si>
  <si>
    <t>A0100081</t>
  </si>
  <si>
    <t>Ingeniero Supervisor y Director de Prueba Pilote</t>
  </si>
  <si>
    <t>A0100230</t>
  </si>
  <si>
    <t xml:space="preserve">Inspector de fabricacion montaje y pintura </t>
  </si>
  <si>
    <t>A0100294</t>
  </si>
  <si>
    <t xml:space="preserve">Operador de maquinaria liviana </t>
  </si>
  <si>
    <t>PASILLO</t>
  </si>
  <si>
    <t>Secretaria de Planeación e Infraestructura</t>
  </si>
  <si>
    <t>VoBo ARQ. LINA MARITZA BOCANEGRA QUINTERO</t>
  </si>
  <si>
    <t>M</t>
  </si>
  <si>
    <t>DEMOLICIÓN PLACA e= 0.10m</t>
  </si>
  <si>
    <t>GLOBAL</t>
  </si>
  <si>
    <t>SITIO 2</t>
  </si>
  <si>
    <t>HH</t>
  </si>
  <si>
    <t>1 OFC Y 1 AYUD</t>
  </si>
  <si>
    <t>1 OFC Y 2 AYUD</t>
  </si>
  <si>
    <t>HORA</t>
  </si>
  <si>
    <t>VALOR</t>
  </si>
  <si>
    <t>1 OFC Y 3 AYUD</t>
  </si>
  <si>
    <t>1 OFC Y 4 AYUD</t>
  </si>
  <si>
    <t>1 OFC Y 5 AYUD</t>
  </si>
  <si>
    <t>M3/KM</t>
  </si>
  <si>
    <t>DISTANCIA</t>
  </si>
  <si>
    <t>EXP</t>
  </si>
  <si>
    <t>VOL. O PESO (EXP)</t>
  </si>
  <si>
    <t>RETIRO DE MATERIAL HASTA 5 KM (ESCOMBRO)</t>
  </si>
  <si>
    <t>ING. MIGUEL ANDRES CAPERA HERNANDEZ</t>
  </si>
  <si>
    <t>TRABAJO</t>
  </si>
  <si>
    <t xml:space="preserve">RELLENO EN ARENA </t>
  </si>
  <si>
    <t>COTIZACION 3</t>
  </si>
  <si>
    <t>COTIZACION 2</t>
  </si>
  <si>
    <t>RETIRO DE ADOQUIN DEFECTUOSO Y EN MAL ESTADO</t>
  </si>
  <si>
    <t>DESMONTE DE MOTOBOMBAS, TABLEROS, Y ELEMENTOS ELECTRONICOS.</t>
  </si>
  <si>
    <t>ADOQUIN INDUPISO PIZARRA O SIMILAR COLOR ARENA (20X20X8)</t>
  </si>
  <si>
    <t>ALFAGIA PREFABRICADA DE ANCHO 25CMX100CM</t>
  </si>
  <si>
    <t>SILLAS FIJAS DEL PARQUE PRINCIPAL</t>
  </si>
  <si>
    <t>RED ELECTRICA EN CABLE N°12 Y TUBO EMT 1/2" PVC</t>
  </si>
  <si>
    <t>ADOQUIN RECTANGULAR GRIS (20X 10 X 8)</t>
  </si>
  <si>
    <t>UND/KM</t>
  </si>
  <si>
    <t>TRANSPORTE (ADOQUIN) - IBAGUE</t>
  </si>
  <si>
    <t>TRANSPORTE MATERIAL DE CANTERA (ARENA) - CUCUANA</t>
  </si>
  <si>
    <t>PINTURA TIPO 1 EXTERIOR SUPER ACRILICA PROTECCION SOL Y LLUVIA ANTI-HONGOS</t>
  </si>
  <si>
    <t>BROCHA 4"</t>
  </si>
  <si>
    <t>ESTUCO ACRILICO RESISTENTE A LA INTERPERIE DE ALTA ADEHERENCIA 30 KG</t>
  </si>
  <si>
    <t>25M2 X GLN</t>
  </si>
  <si>
    <t>2-6 M2 X GLN</t>
  </si>
  <si>
    <t>PINTURA DE SILLAS REDONDAS DIAMETRO 50CM H=60CM TIPO 1 EXTERIOR COLOR BLANCO (INCLUYE RESANE)</t>
  </si>
  <si>
    <t>BLOQUE ABUJARDADO 14X19X39 CM</t>
  </si>
  <si>
    <t>12 UND X M2</t>
  </si>
  <si>
    <t>TRANSPORTE (BLOQUE-LADRILLO) - IBAGUE</t>
  </si>
  <si>
    <t>ALFAJIA EN CONCRETO A=25CM L=1 M</t>
  </si>
  <si>
    <t>1 UND X 1 M</t>
  </si>
  <si>
    <t>ESTRUCTURAL RED NEGRO 16" 12.70mm - 6.000 MTS</t>
  </si>
  <si>
    <t xml:space="preserve">CONCRETO 3.000 PSI </t>
  </si>
  <si>
    <t>MEZCLADORA DE CONCRETO 1 BLT</t>
  </si>
  <si>
    <t>TRANSPORTE (ACERO) - IBAGUE</t>
  </si>
  <si>
    <t>KG/KM</t>
  </si>
  <si>
    <t>TABLERO ELECTRICO PARA INSTALACIÓN PANTALLA BIFASICO</t>
  </si>
  <si>
    <t>TOTAL A.I.U.</t>
  </si>
  <si>
    <t>VALOR UTILIDAD</t>
  </si>
  <si>
    <t>VALOR IMPREVISTOS</t>
  </si>
  <si>
    <t>PORCENTAJE ADMINISTRACION</t>
  </si>
  <si>
    <t>Informes y papeleria</t>
  </si>
  <si>
    <t>Transporte</t>
  </si>
  <si>
    <t xml:space="preserve">Alquiler de oficina </t>
  </si>
  <si>
    <t>GASTOS DE LEGALIZACION Y PERFECCIONAMIENTO</t>
  </si>
  <si>
    <t>Estampilla de Electrificación rural</t>
  </si>
  <si>
    <t xml:space="preserve">Fondo de seguridad </t>
  </si>
  <si>
    <t>Estampilla Justicia Familiar</t>
  </si>
  <si>
    <t>Tasa Pro Deporte</t>
  </si>
  <si>
    <t>Estampilla Pro Cultura</t>
  </si>
  <si>
    <t>Estampilla Pro Adulto</t>
  </si>
  <si>
    <t>Responsabilidad civil extracontractual</t>
  </si>
  <si>
    <t>Estabilidad de obra</t>
  </si>
  <si>
    <t>Amparo de salarios y prest. Sociales</t>
  </si>
  <si>
    <t>Póliza de cumplimiento</t>
  </si>
  <si>
    <t>Residente de Obra</t>
  </si>
  <si>
    <t>Director de Obra</t>
  </si>
  <si>
    <t>DEDICACION</t>
  </si>
  <si>
    <t>VALOR UNITARIO</t>
  </si>
  <si>
    <t>FACTOR PRESTACIONAL</t>
  </si>
  <si>
    <t>DURACION</t>
  </si>
  <si>
    <t>PERSONAL DE OBRA  (incl. Prestaciones)</t>
  </si>
  <si>
    <t>VALOR ADMINISTRACIÓN DE OBRA</t>
  </si>
  <si>
    <t>C. DIRECTO</t>
  </si>
  <si>
    <t xml:space="preserve">PORCENTAJE % Y CANTIDAD REAL </t>
  </si>
  <si>
    <t xml:space="preserve">PORCENTAJES % Y CANTIDADES ESTIMADAS </t>
  </si>
  <si>
    <t>DESCRIPCIÓN</t>
  </si>
  <si>
    <t>No</t>
  </si>
  <si>
    <t>Cálculo pormenorizado del factor Administración, Imprevistos y Utilidades. AIU</t>
  </si>
  <si>
    <t>DESGLOSE DEL A.I.U.</t>
  </si>
  <si>
    <t>ROLLO</t>
  </si>
  <si>
    <t>CABLE N°12 ENCAUCHETADOX100</t>
  </si>
  <si>
    <t>UNION EMT 1/2"</t>
  </si>
  <si>
    <t>CURVA EMT 1/2"</t>
  </si>
  <si>
    <t>TUBERIA EMT 1/2" X3 M</t>
  </si>
  <si>
    <t>PINTURA DE MATERA RECTANGULAR 40X60X30 TIPO 1 EXTERIOR COLOR BLANCO (INCLUYE RESANE)</t>
  </si>
  <si>
    <t>ID</t>
  </si>
  <si>
    <t>P-0001</t>
  </si>
  <si>
    <t>PRELIMINARES (P)</t>
  </si>
  <si>
    <t>PISOS CERAMICOS, TERMINADOS Y ACABADOS (PTA)</t>
  </si>
  <si>
    <t>P</t>
  </si>
  <si>
    <t>PTA</t>
  </si>
  <si>
    <t>CMR</t>
  </si>
  <si>
    <t>V/UNIT</t>
  </si>
  <si>
    <t>P-0002</t>
  </si>
  <si>
    <t>P-0003</t>
  </si>
  <si>
    <t>P-0004</t>
  </si>
  <si>
    <t>P-0005</t>
  </si>
  <si>
    <t>P-0006</t>
  </si>
  <si>
    <t>PTA-002</t>
  </si>
  <si>
    <t>PTA-001</t>
  </si>
  <si>
    <t>PTA-003</t>
  </si>
  <si>
    <t>PTA-004</t>
  </si>
  <si>
    <t>PTA-005</t>
  </si>
  <si>
    <t>ADOQUIN RECTANGULAR ADOP-A O SIMILAR COLOR GRIS (20 X10X 8)</t>
  </si>
  <si>
    <t>EXCAVACIÓN MANUAL EN MATERIAL COMÚN 0-2 MTS</t>
  </si>
  <si>
    <t>PTA-006</t>
  </si>
  <si>
    <t>ELC</t>
  </si>
  <si>
    <t>CONCRETOS, MORTEROS Y REFUERZOS (CMR)</t>
  </si>
  <si>
    <t>ELECTRICIDAD Y ACCESORIOS ELECTRICOS (ELC)</t>
  </si>
  <si>
    <t>HS</t>
  </si>
  <si>
    <t>SUMINISTRO E INSTALACION DE SANITARIO (INCLUYE GRIFERIA)</t>
  </si>
  <si>
    <t>SUMINISTRO E INSTALACION DE LAVAMOS DE EMPOTRAR (INCLUYE GRIFERIA)</t>
  </si>
  <si>
    <t>SUMINISTRO E INSTALACIÓN DE LLAVE LAVAMANOS TIPO PUSH</t>
  </si>
  <si>
    <t>SUMINISTRO E INSTALACIÓN DE DESAGUE PARA LAVAMOS</t>
  </si>
  <si>
    <t>CIE</t>
  </si>
  <si>
    <t>TEJA EN LAMINA GALVANIZADA CAL.28</t>
  </si>
  <si>
    <t>SUMINISTRO E INSTALACION DE SANITARIO INFANTIL (INCLUYE GRIFERIA)</t>
  </si>
  <si>
    <t>DESMONTE DE APARATOS SANITARIOS</t>
  </si>
  <si>
    <t>LF</t>
  </si>
  <si>
    <t>P-0007</t>
  </si>
  <si>
    <t>HS-001</t>
  </si>
  <si>
    <t>HS-002</t>
  </si>
  <si>
    <t>HS-003</t>
  </si>
  <si>
    <t>HS-004</t>
  </si>
  <si>
    <t>HS-005</t>
  </si>
  <si>
    <t>HS-006</t>
  </si>
  <si>
    <t>TAPA EN CONCRETO PARA CAJA DE INSPECCIÓN 1X1 M CON TERMINAL EN ANGULO 1/2"</t>
  </si>
  <si>
    <t>HS-007</t>
  </si>
  <si>
    <t>HIDRAULICO Y SANITARIO (HS)</t>
  </si>
  <si>
    <t>HS-008</t>
  </si>
  <si>
    <t>Baño bloque planta A sanitario niñas</t>
  </si>
  <si>
    <t>Baño bloque A sanitario niñas</t>
  </si>
  <si>
    <t>Bloque D Preescolar</t>
  </si>
  <si>
    <t>Baño bloque A sanitario niños</t>
  </si>
  <si>
    <t>CMR-001</t>
  </si>
  <si>
    <t>CMR-002</t>
  </si>
  <si>
    <t>CMR-003</t>
  </si>
  <si>
    <t>ELC-001</t>
  </si>
  <si>
    <t>ELC-002</t>
  </si>
  <si>
    <t>ELC-003</t>
  </si>
  <si>
    <t>CIE-001</t>
  </si>
  <si>
    <t>CIE-002</t>
  </si>
  <si>
    <t>LF-001</t>
  </si>
  <si>
    <t>TUBERÍA PVC 4" SANITARIO BAJANTE AGUAS LLUVIAS</t>
  </si>
  <si>
    <t>HS-009</t>
  </si>
  <si>
    <t>SUMINISTRO E INSTALACIÓN DE GRIFERIA PARA SANITARIO</t>
  </si>
  <si>
    <t>Pasillo de acceso a rampa Bloque A</t>
  </si>
  <si>
    <t>MANTENIMIENTO RED SANITARIA (PUNTO OBSTRUIDO)</t>
  </si>
  <si>
    <t>REPARACIÓN FUGA RED HIDRAULICA 1/2" FUGA SENCILLA</t>
  </si>
  <si>
    <t>Baño bloque A sanitario niñas (SANITARIO)</t>
  </si>
  <si>
    <t>Baño bloque A sanitario niños (ORINAL)</t>
  </si>
  <si>
    <t>SUMINISTRO E INSTALACIÓN DE LLAVE ORINAL TIPO PUSH</t>
  </si>
  <si>
    <t>CIE-003</t>
  </si>
  <si>
    <t>CUBIERTAS, IMPERMEABILIZANTE Y ELEMENTOS DE SOPORTE (CIE)</t>
  </si>
  <si>
    <t>LIMPIEZA Y FINALIZACIÓN DE OBRA (LF)</t>
  </si>
  <si>
    <t>BLOQUE A (LABORATORIO)</t>
  </si>
  <si>
    <t>BLOQUE A SALONES</t>
  </si>
  <si>
    <t>BLOQUE A BAJANTE</t>
  </si>
  <si>
    <t>RENDIMIENTO (1)</t>
  </si>
  <si>
    <t>RENDIMIENTO (2)</t>
  </si>
  <si>
    <t>RENDIMIENTO (3)</t>
  </si>
  <si>
    <t>RENDIMIENTO (4)</t>
  </si>
  <si>
    <t>RENDIMIENTO (5)</t>
  </si>
  <si>
    <t>MURO EN BLOQUE ABUJARDADO CON DOVELAS 14X19X39 PARA ALCORQUE DE ARBOL</t>
  </si>
  <si>
    <t>SANITARIO ECONOMICO</t>
  </si>
  <si>
    <t>GRIFERIA PARA SANITARIO CON FLOTADOR</t>
  </si>
  <si>
    <t xml:space="preserve">MANGUERA ACOPLE 1/2" </t>
  </si>
  <si>
    <t>BRIDA PARA INSTALACIÓN SANITARIO</t>
  </si>
  <si>
    <t>SANITARIO INFANTIL</t>
  </si>
  <si>
    <t>COTIZACION 1 (HOMECENTER)</t>
  </si>
  <si>
    <t>LAVAMANOS (INCLUYE GRIFERIA Y DESAUGUE)</t>
  </si>
  <si>
    <t>LAVAMANO DE EMPOTRAR SENCILLO</t>
  </si>
  <si>
    <t>LLAVE TERMINAL LAVAMANOS SENCILLA 1/2"</t>
  </si>
  <si>
    <t>DESAGUE SIFON TIPO BOTELLA LAVAMANOS</t>
  </si>
  <si>
    <t>LLAVE TERMINAL LAVAMANOS TIPO PUSH</t>
  </si>
  <si>
    <t>SILICONA ANTIHONGOS BAÑOS Y COCINA 280 ML</t>
  </si>
  <si>
    <t>AGENTE QUIMICO PARA DESTAPAR CAÑERIA</t>
  </si>
  <si>
    <t>SONDA LIMPIADOR DE CAÑERIA 10 M</t>
  </si>
  <si>
    <t>ANGULO 6X1-1/2"X1/8"</t>
  </si>
  <si>
    <t>LLAVE TERMINAL ORINAL TIPO PUSH</t>
  </si>
  <si>
    <t>CINTA TEFLON 1/2"  X 10 M</t>
  </si>
  <si>
    <t xml:space="preserve">TEJA TERMOACISTICA ARQUITECTONICA CAL. 31 </t>
  </si>
  <si>
    <t>TUBERIA PVC CUADRADA 6CMX6CMX3M</t>
  </si>
  <si>
    <t>TORNILLO CUBIERTA 2-1/2" CON ARANDELA DE NEOPRENO</t>
  </si>
  <si>
    <t>DIA</t>
  </si>
  <si>
    <t>SUMINISTRO E INSTALACION DE TUBERIA PETROLERA DE  20" y  10", INCLUYE ESCALERA DE ACCESO, ESTRUCTURA DE FIJACION DE LA PANTALLA Y TODOS LOS ELEMENTROS NECESARIOS PARA SU CORRECTO FUNCIONAMIENTO</t>
  </si>
  <si>
    <t>SUMINISTRO E INSTALACION DE PANTALLA EXTERIO  3,9 PICH CON 15 GRADO DE 7680 HZ #500 X1000 MM CON PROCESADOR Tb40 , INCLUYE CONEXIÓN ELECTRICA, CAJA DE CONTROL Y PUESTA EN FUNCIONAMIENTO.</t>
  </si>
  <si>
    <t>DISPOSICIÓN DE MATERIAL SOBRANTE</t>
  </si>
  <si>
    <t>RETIRO DE MATERIAL SOBRANTE HASTA 5 KM</t>
  </si>
  <si>
    <t>RETROEXCAVADORA DE LLANTA (ESCOMBROS)</t>
  </si>
  <si>
    <t>CODO SANITARIO DE 4" PVC</t>
  </si>
  <si>
    <t>CODO SANITARIO DE 2" PVC</t>
  </si>
  <si>
    <t>UNION PRESIÓN DE 1/2" PVC</t>
  </si>
  <si>
    <t>UNIÓN SANITARIA 4" PVC</t>
  </si>
  <si>
    <t>ABRAZADERA TIPO GRAPA TUBO 4" METALICA</t>
  </si>
  <si>
    <t>ANDAMIO CON TABLON (2 CUERPOS)</t>
  </si>
  <si>
    <t>PUNTO ELECTRICO DE CONEXIÓN DOBLE</t>
  </si>
  <si>
    <t>ELC-004</t>
  </si>
  <si>
    <t>CAJA 2X4 PLASTICA</t>
  </si>
  <si>
    <t>TOMA CORRIENTE DOBLE</t>
  </si>
  <si>
    <t>CINTA AISLANTE 18M X 19MM</t>
  </si>
  <si>
    <t>ELC-005</t>
  </si>
  <si>
    <t>ELC-006</t>
  </si>
  <si>
    <t>PUNTO DE ILUMINACIÓN INCLUYE INTERRUPTOR, PLAFON Y BOMBILLO 50 W</t>
  </si>
  <si>
    <t>PUNTO DE ILUMINACIÓN INCLUYE INTERRUPTOR Y LAMPARA 18W</t>
  </si>
  <si>
    <t>CAJA OCTOGONAL PLASTICA</t>
  </si>
  <si>
    <t>INTERRUPTOR SENCILLO</t>
  </si>
  <si>
    <t>PLAFON BOMBILLO PORCELANA</t>
  </si>
  <si>
    <t>BOMBILLO LED 50W</t>
  </si>
  <si>
    <t>LAMPARA LED 18W</t>
  </si>
  <si>
    <t>FLANCHE METALICO CUBIERTA CAL.26</t>
  </si>
  <si>
    <t>CIE-004</t>
  </si>
  <si>
    <t>BLOQUE A SALONES DE CLASE</t>
  </si>
  <si>
    <t>BLOQUE B SALON SEGUNDO PISO</t>
  </si>
  <si>
    <t xml:space="preserve">FLANCHE METALICO CAL.26 20X2 </t>
  </si>
  <si>
    <t xml:space="preserve">BLOQUE C SALONES </t>
  </si>
  <si>
    <t>SALA DE PROFESORES</t>
  </si>
  <si>
    <t>BLOQUE B AULA INTERACTIVA</t>
  </si>
  <si>
    <t>ELC-007</t>
  </si>
  <si>
    <t>CHAZO DOBLE ALETA Y TORNILLO PUNTA LENTEJA 3/8"</t>
  </si>
  <si>
    <t>CABLE DE RED CAT6 UTPX100</t>
  </si>
  <si>
    <t>PUNTO DE RED JACK CAT6</t>
  </si>
  <si>
    <t>CIELO RASO PVC 9 MM INCLUYE ESTRUCTURA</t>
  </si>
  <si>
    <t>PTA-007</t>
  </si>
  <si>
    <t>CIELO RASO PVC 9 MM CON ESTRUCTURA</t>
  </si>
  <si>
    <t>Sala de sistemas</t>
  </si>
  <si>
    <t>CIE-005</t>
  </si>
  <si>
    <t>IMPERMEABILIZANTE ACRILICO+FIBRAS 12 AÑOS</t>
  </si>
  <si>
    <t>5 GLN</t>
  </si>
  <si>
    <t>4M2/GLN</t>
  </si>
  <si>
    <t>RODILLO DE FELPA 9"</t>
  </si>
  <si>
    <t>SELLADOR DE POLIURETANO 100% ALTO RENDIMIENTO 300ML</t>
  </si>
  <si>
    <t>TAPA GOTERAS CON SELLANTE, ACRILICO+FIBRA</t>
  </si>
  <si>
    <t>CANALETA METALICA ELECTRICA 5CMX12CMX2M</t>
  </si>
  <si>
    <t>SALA INTERACTIVA</t>
  </si>
  <si>
    <t>IET GENERAL SANTANDER</t>
  </si>
  <si>
    <t>IET FRANCISCO JULIAN OLAYA</t>
  </si>
  <si>
    <t>MEJORAMIENTO DE LAS IET GENERAL SANTANDER SEDE PRINCIPAL Y FRANCISCO JULIAN OLAYA SEDE PRINCIPAL DEL MUNICIPIO DE RIOBLANCO TOLIMA</t>
  </si>
  <si>
    <t>Subsecretaria de Planeación e Infraestructura</t>
  </si>
  <si>
    <t>P-0008</t>
  </si>
  <si>
    <t>LOCALIZACIÓN Y REPLANTEO (AREA)</t>
  </si>
  <si>
    <t>P-0009</t>
  </si>
  <si>
    <t>DEMOLICIÓN DE PLACA CONCRETO e=0.15m INCLUYE TRANSPORTE</t>
  </si>
  <si>
    <t>P-0010</t>
  </si>
  <si>
    <t>DEMOLICIÓN DE MURO EN CONCRETO REFORZADO INCLUYE TRANSPORTE</t>
  </si>
  <si>
    <t>P-0011</t>
  </si>
  <si>
    <t>EXCAVACIÓN MECANICA EN MATERIAL COMÚN</t>
  </si>
  <si>
    <t>P-0012</t>
  </si>
  <si>
    <t>RELLENO EN RECEBO COMPACTADO</t>
  </si>
  <si>
    <t>P-0013</t>
  </si>
  <si>
    <t>DESCAPOTE MANUAL DE TERRENO E=0,15 CM, INCLUYE RETIRO</t>
  </si>
  <si>
    <t>SALTARIN COMPACTADOR (CANGURO)</t>
  </si>
  <si>
    <t>TRANSPORTE MATERIAL (RECEBO) - 10 KM</t>
  </si>
  <si>
    <t>RETROEXCAVADORA DE LLANTA (EXCAVACIÓN)</t>
  </si>
  <si>
    <t>PULIDORA PARA PISO</t>
  </si>
  <si>
    <t>CORTADORA PARA PISO</t>
  </si>
  <si>
    <t>TOTAL HORA</t>
  </si>
  <si>
    <t>CORTADORA DE BALDOSA</t>
  </si>
  <si>
    <t>COMPRESOR 50 LT</t>
  </si>
  <si>
    <t>CERAMICA GRES 20X20 CALIDAD 1</t>
  </si>
  <si>
    <t>CODO TUBERIA CUADRADA 6X6 PVC</t>
  </si>
  <si>
    <t>CONCRETO 3.000 PSI</t>
  </si>
  <si>
    <t>ESTUCO PLASTICO INTERIOR Y EXTERIOR</t>
  </si>
  <si>
    <t>2-4 M2 X GLN</t>
  </si>
  <si>
    <t>ESPATULA 3"</t>
  </si>
  <si>
    <t>PEGANTE PARA CERÁMICA X25 KG</t>
  </si>
  <si>
    <t>PINTURA TIPO 1 X 5 GLN</t>
  </si>
  <si>
    <t>35M2XGLN</t>
  </si>
  <si>
    <t>TUBERIA PVC ANILLADA DE 36"</t>
  </si>
  <si>
    <t>ENCHAPE CERAMICO 20X30 CM PRIMERA CALIDAD</t>
  </si>
  <si>
    <t>SEPARADOR DE CERAMICA 2MM</t>
  </si>
  <si>
    <t>PINTURA ESMALTE 2 EN 1</t>
  </si>
  <si>
    <t>DISOLVENTE</t>
  </si>
  <si>
    <t>LAMPARA LED SOLAR TIPO ROMBO UFO 20</t>
  </si>
  <si>
    <t>SOPORTE ORGANIZADOR DE GUITARRAS DE PARED 2 M</t>
  </si>
  <si>
    <t xml:space="preserve">CHAZO EXPANSIVO CONCRETO 1/2" </t>
  </si>
  <si>
    <t>IMPERMEABILIZANTE DE RESINA ACUROSA SIKA IMPERMUR O SIMILAR</t>
  </si>
  <si>
    <t>2 KG</t>
  </si>
  <si>
    <t>Película Protección Uv 100% &amp; Irr 1.2x2m 2mm</t>
  </si>
  <si>
    <t>UNION CUADRADA 6X6 PVC</t>
  </si>
  <si>
    <t>TRANSPORTE TUBERIA DE 36" - IBAGUE</t>
  </si>
  <si>
    <t>M/KM</t>
  </si>
  <si>
    <t>TRANSPORTE ENCHAPE</t>
  </si>
  <si>
    <t>M2/KM</t>
  </si>
  <si>
    <t>PTA-008</t>
  </si>
  <si>
    <t xml:space="preserve">ENCHAPE EN GRES ROJO </t>
  </si>
  <si>
    <t>PTA-009</t>
  </si>
  <si>
    <t>PINTURA TIPO 1 INTERIOR, DOS MANOS</t>
  </si>
  <si>
    <t>PTA-010</t>
  </si>
  <si>
    <t>RESANE EN ESTUCO ACRILICO 100%</t>
  </si>
  <si>
    <t>PTA-011</t>
  </si>
  <si>
    <t>PINTURA TIPO 1 EXTERIOR 100% ACRILICA, DOS MANOS</t>
  </si>
  <si>
    <t>PTA-012</t>
  </si>
  <si>
    <t>POLARIZADO PARA VENTANAS PELICULA PROTECCIÓN 100% UV 2 MM</t>
  </si>
  <si>
    <t>PTA-013</t>
  </si>
  <si>
    <t>ENCHAPE CERAMICO 20X30 CM COLOR BLANCO (PARED)</t>
  </si>
  <si>
    <t>PTA-014</t>
  </si>
  <si>
    <t>PINTURA ESMALTE ELEMENTOS METALICOS (AREA)</t>
  </si>
  <si>
    <t>PTA-015</t>
  </si>
  <si>
    <t>PINTURA ESMALTE ELEMENTOS METALICOS (LINEAL BARANDA)</t>
  </si>
  <si>
    <t>PTA-016</t>
  </si>
  <si>
    <t>MURAL DECORATIVO CON IDENTIFICACIÓN CULTURAL</t>
  </si>
  <si>
    <t>DESMONTE DE CUBIERTA EXISTENTE</t>
  </si>
  <si>
    <t>P-0014</t>
  </si>
  <si>
    <t>CANALETA METALICA ELECTRICA 5CMX12CMX2M (INCLUYE PUNTOS ELECTRICOS Y DE DATOS)</t>
  </si>
  <si>
    <t>DEMOLICIÓN PLACA e= 0.10m INCLUYE TRANSPORTE</t>
  </si>
  <si>
    <t>PTA-017</t>
  </si>
  <si>
    <t>RECUBRIMIENTO DE TRUFLEX ANTIDESLIZANTE DE 3 CAPAS  (UNA BASE DE CUARZO Y DOS CAPAS DE COLOR) PARA ZONA EQUIPOS BIOSALUDABLES Y PARQUE INFANTIL.</t>
  </si>
  <si>
    <t>PTA-018</t>
  </si>
  <si>
    <t>PINTURA TIPO EPOXICA O TRAFICO PESADO, PARA DEMARCACION DE CANCHA MULTIPLE, INCLUYE BASE (VOLEIBOL, MICROFUTBOL Y BALONCESTO) (2 MANOS)</t>
  </si>
  <si>
    <t>CMR-004</t>
  </si>
  <si>
    <t>PLACA CONCRETO 3.000 PSI E=10CM</t>
  </si>
  <si>
    <t>CMR-005</t>
  </si>
  <si>
    <t>CONCRETO 3.000 PSI PARA CONSTRUCCIÓN DE CANAL EN CONCRETO</t>
  </si>
  <si>
    <t>CMR-006</t>
  </si>
  <si>
    <t>MURO EN GAVIÓN CON MALLA DOBLE TORSIÓN CAL. 13</t>
  </si>
  <si>
    <t>CMR-007</t>
  </si>
  <si>
    <t xml:space="preserve">SUMINISTRO E INSTALACIÓN DE GEOTEXTIL NT1600S </t>
  </si>
  <si>
    <t>CMR-008</t>
  </si>
  <si>
    <t>CONSTRUCCIÓN DE SARDINEL INSITU E=0,15 M H=0,45M</t>
  </si>
  <si>
    <t>CANALETA ELECTRICA 12CMX20CMX2M</t>
  </si>
  <si>
    <t>ELC-008</t>
  </si>
  <si>
    <t>SUMINISTRO E INSTALACIÓN DE LAMPARA 18W</t>
  </si>
  <si>
    <t>ELC-009</t>
  </si>
  <si>
    <t>SUMINISTRO E INSTALACIÓN DE LUMINARIA EXTERIOR TIPO ROMBO SOLAR UF 20</t>
  </si>
  <si>
    <t>HS-010</t>
  </si>
  <si>
    <t>SUMINISTRO E INSTALACIÓN DE DESAGUE PARA LAVAPLATOS</t>
  </si>
  <si>
    <t>HS-011</t>
  </si>
  <si>
    <t>INSTALACIÓN MANGUERA DE ACOPLE 1/2"</t>
  </si>
  <si>
    <t>HS-012</t>
  </si>
  <si>
    <t>CAJA EN CONCRETO PARA CAJA DE INSPECCIÓN 1X1 M CON TERMINAL EN ANGULO 1/2"</t>
  </si>
  <si>
    <t>HS-013</t>
  </si>
  <si>
    <t xml:space="preserve">TUBERIA ANILLADA PVC DE 36" </t>
  </si>
  <si>
    <t>HS-014</t>
  </si>
  <si>
    <t>CANAL EN CONCRETO 3.000 PSI SECCIÓN TRAPEZOIDAL A1=50CM, A2=30CM Y H=15 CM, ESPESOR 10 CM</t>
  </si>
  <si>
    <t>CIE-006</t>
  </si>
  <si>
    <t>IMPERMEABILIZANTE DE VIGACANALES EN CONCRETO</t>
  </si>
  <si>
    <t>CIE-007</t>
  </si>
  <si>
    <t>TUBERIA CUADRADA 6X6CM BAJANTE AGUAS LLUVIAS</t>
  </si>
  <si>
    <t>CIE-008</t>
  </si>
  <si>
    <t>IMPERMEABILIZANTE PARA MUROS CON RESINA ACUOSA DE IMPREGNACIÓN</t>
  </si>
  <si>
    <t>MED</t>
  </si>
  <si>
    <t>MOBILIARIO Y ELEMENTOS DECORATIVOS (MED)</t>
  </si>
  <si>
    <t>MED-001</t>
  </si>
  <si>
    <t>SOPORTE PARED ORGANIZADOR DE GUITARRAS 2 MTS</t>
  </si>
  <si>
    <t>MED-002</t>
  </si>
  <si>
    <t>PARQUE INFANTIL DE  PLATAFORMAS CON TUNEL COMUNICANTE, RODADERO CERRADO, ESPIRAL Y DOBLE, ESCALERAS METALICAS DE ACCESO, COLUMPIOS, DOS TECHOS Y ACCESORIOS. AREA (9X6,40MTS)</t>
  </si>
  <si>
    <t>MED-003</t>
  </si>
  <si>
    <t>SUMINISTRO E INSTALACION DE MAQUINA BIOSALUDABLE BANCO DOBLE ABDOMINAL DE 1.9x1.2x0,7  CON CERTIFICADO TUV GS, ISO 9000 Y DEMAS NORMAS APLICABLES - INCLUYE TODO PARA SU CORRECTO FUNCIONAMIENTO.</t>
  </si>
  <si>
    <t>MED-004</t>
  </si>
  <si>
    <t>SUMINISTRO E INSTALACION DE MAQUINA BIOSALUDABLE DOBLE DORSAL ANCHO DE XXXXX CON CERTIFICADO TUV GS, ISO 9000 Y DEMAS NORMAS APLICABLES - INCLUYE TODO PARA SU CORRECTO FUNCIONAMIENTO.</t>
  </si>
  <si>
    <t>MED-005</t>
  </si>
  <si>
    <t>SUMINISTRO E INSTALACION DE MAQUINA BIOSALUDABLE CABALLO BIOSALUDABLE DE XXXXX CON CERTIFICADO TUV GS, ISO 9000 Y DEMAS NORMAS APLICABLES - INCLUYE TODO PARA SU CORRECTO FUNCIONAMIENTO.</t>
  </si>
  <si>
    <t>MED-006</t>
  </si>
  <si>
    <t xml:space="preserve">SUMINISTRO E INSTALACION DE MAQUINA BIOSALUDABLE BICICLETA DE 1,20X0,58X1,45 M. CON CERTIFICADO TUV GS, ISO 9000 Y DEMAS NORMAS APLICABLES - INCLUYE TODO PARA SU CORRECTO FUNCIONAMIENTO </t>
  </si>
  <si>
    <t>MED-007</t>
  </si>
  <si>
    <t>SUMINISTRO E INSTALACION DE MAQUINA BIOSALUDABLE CAMINADOR AEREO DE 0,45X1,20X1,30 M. CON CERTIFICADO TUV GS, ISO 9000 Y DEMAS NORMAS APLICABLES - INCLUYE TODO PARA SU CORRECTO FUNCIONAMIENTO</t>
  </si>
  <si>
    <t>MED-008</t>
  </si>
  <si>
    <t xml:space="preserve">SUMINISTRO E INSTALACION DE MAQUINA BIOSALUDABLE REMO DE 1,10X0,75X1,14 M. CON CERTIFICADO TUV GS, ISO 9000 Y DEMAS NORMAS APLICABLES - INCLUYE TODO PARA SU CORRECTO FUNCIONAMIENTO </t>
  </si>
  <si>
    <t xml:space="preserve">            VoBo ING. IVAN MAURICIO PENAGOS ANDRADE</t>
  </si>
  <si>
    <t>Excavación en material común</t>
  </si>
  <si>
    <t>Demolición muro en ladrillo macizo</t>
  </si>
  <si>
    <t>PINTURA ACRILICA PARA TRAFICO PESADO TIPO CANCHA Y/O PISOS SOBRE UNA BASE EN IMPRIMANTE EPOXICO DE DOS COMPONENTES, PARA DEMARCACION DE CANCHA MULTIPLE (VOLEIBOL, MICROFUTBOL Y BALONCESTO) (2 MANOS)</t>
  </si>
  <si>
    <t>PTA-019</t>
  </si>
  <si>
    <t>SUMINISTRO E INSTALACIÓN DE LADRILLO TOLETE 25X12X6CM</t>
  </si>
  <si>
    <t>PTA-020</t>
  </si>
  <si>
    <t>PAÑETE MURO 1:4   E=0.02M</t>
  </si>
  <si>
    <t>PTA-021</t>
  </si>
  <si>
    <t>PINTURA TIPO 1 INTERIOR, TRES MANOS</t>
  </si>
  <si>
    <t>CONSTRUCCIÓN DE SARDINEL INSITU E=0,15 M H=0,45M, CONCRETO 3.000 PSI (INCLUYE REFUERZO)</t>
  </si>
  <si>
    <t>CMR-009</t>
  </si>
  <si>
    <t>COLUMNA CONCRETO 3.000 PSI 20X12 CM</t>
  </si>
  <si>
    <t>CMR-010</t>
  </si>
  <si>
    <t>ZAPATA CONCRETO 3.000 PSI 120X70X30 CM</t>
  </si>
  <si>
    <t>CMR-011</t>
  </si>
  <si>
    <t>COLUMNA CONCRETO 3.000 PSI 30X30 CM</t>
  </si>
  <si>
    <t>CMR-012</t>
  </si>
  <si>
    <t>ADHESIVO EPOXICO DE CONCRETO FRESCO CON CONCRETO ANTIGUO (USO ESTRUCTURAL)</t>
  </si>
  <si>
    <t>MAMPOSTERIA Y ACABADOS</t>
  </si>
  <si>
    <t>Ladrillo tolete</t>
  </si>
  <si>
    <t>CARA EXTERNA</t>
  </si>
  <si>
    <t>CONCRETO Y REFUERZO</t>
  </si>
  <si>
    <t>Columneta en concreto reforzado f´c 3000 psi</t>
  </si>
  <si>
    <t>Zapata en concreto reforzado 3000 psi</t>
  </si>
  <si>
    <t>Pedestal en concreto reforzado</t>
  </si>
  <si>
    <t>Pedestal en concreto reforzado y viga existente</t>
  </si>
  <si>
    <t>No.</t>
  </si>
  <si>
    <t>KG/M</t>
  </si>
  <si>
    <t>Acero longitudinal para columneta</t>
  </si>
  <si>
    <t xml:space="preserve">Acero transversal  para columnetas </t>
  </si>
  <si>
    <t>Acero transversal para zapata</t>
  </si>
  <si>
    <t>Acero longitudinal para zapata</t>
  </si>
  <si>
    <t>Acero longitudinal pedestal</t>
  </si>
  <si>
    <t>Acero transversal  del pedestal</t>
  </si>
  <si>
    <t>DEMOLICIÓN MURO LADRILLO HASTA 15 CM ANCHO, INCLUYE RETIRO DE ESCOMBROS A 5 KM</t>
  </si>
  <si>
    <t>FECHA: 16 DE ABRIL DEL 2026</t>
  </si>
  <si>
    <t>CANALETA ELECTRICA 12CMX20CMX2M (INCLUYE PUNTOS ELECTRICOS Y JACK)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</si>
</sst>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_(&quot;$&quot;\ * #,##0.00_);_(&quot;$&quot;\ * \(#,##0.00\);_(&quot;$&quot;\ * &quot;-&quot;??_);_(@_)"/>
    <numFmt numFmtId="167" formatCode="&quot;$&quot;\ #,##0.00"/>
    <numFmt numFmtId="168" formatCode="_-&quot;$&quot;* #,##0.00_-;\-&quot;$&quot;* #,##0.00_-;_-&quot;$&quot;* &quot;-&quot;_-;_-@_-"/>
    <numFmt numFmtId="169" formatCode="_ &quot;$&quot;\ * #,##0.00_ ;_ &quot;$&quot;\ * \-#,##0.00_ ;_ &quot;$&quot;\ * &quot;-&quot;??_ ;_ @_ 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0.000"/>
    <numFmt numFmtId="173" formatCode="_ [$€-2]\ * #,##0.00_ ;_ [$€-2]\ * \-#,##0.00_ ;_ [$€-2]\ * &quot;-&quot;??_ "/>
    <numFmt numFmtId="174" formatCode="_-&quot;$&quot;\ * #,##0.00_-;\-&quot;$&quot;\ * #,##0.00_-;_-&quot;$&quot;\ * &quot;-&quot;_-;_-@_-"/>
    <numFmt numFmtId="175" formatCode="&quot;$&quot;\ #,##0"/>
    <numFmt numFmtId="176" formatCode="_-&quot;$&quot;\ * #,##0_-;\-&quot;$&quot;\ * #,##0_-;_-&quot;$&quot;\ * &quot;-&quot;??_-;_-@_-"/>
    <numFmt numFmtId="177" formatCode="&quot;$&quot;#,##0.0"/>
    <numFmt numFmtId="178" formatCode="[$$-240A]\ #,##0.0"/>
    <numFmt numFmtId="179" formatCode="&quot;$&quot;\ #,##0.0"/>
    <numFmt numFmtId="180" formatCode="_-* #,##0.00\ &quot;€&quot;_-;\-* #,##0.00\ &quot;€&quot;_-;_-* &quot;-&quot;??\ &quot;€&quot;_-;_-@_-"/>
    <numFmt numFmtId="181" formatCode="&quot;$&quot;\ #,##0.00;[Red]&quot;$&quot;\ \-#,##0.00"/>
    <numFmt numFmtId="182" formatCode="_ &quot;$&quot;\ * #,##0_ ;_ &quot;$&quot;\ * \-#,##0_ ;_ &quot;$&quot;\ * &quot;-&quot;_ ;_ @_ "/>
    <numFmt numFmtId="183" formatCode="#,##0.000"/>
    <numFmt numFmtId="184" formatCode="#,##0.0"/>
    <numFmt numFmtId="185" formatCode="_-* #,##0.00\ &quot;Pts&quot;_-;\-* #,##0.00\ &quot;Pts&quot;_-;_-* &quot;-&quot;??\ &quot;Pts&quot;_-;_-@_-"/>
    <numFmt numFmtId="186" formatCode="#,##0.0000"/>
    <numFmt numFmtId="187" formatCode="_-* #,##0.00\ [$€]_-;\-* #,##0.00\ [$€]_-;_-* &quot;-&quot;??\ [$€]_-;_-@_-"/>
    <numFmt numFmtId="188" formatCode="##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_-* #,##0.00\ _€_-;\-* #,##0.00\ _€_-;_-* &quot;-&quot;??\ _€_-;_-@_-"/>
    <numFmt numFmtId="204" formatCode="0.000000000000000"/>
    <numFmt numFmtId="205" formatCode="0.0000%"/>
    <numFmt numFmtId="206" formatCode="_ * #,##0.00_ ;_ * \-#,##0.00_ ;_ * \-??_ ;_ @_ "/>
    <numFmt numFmtId="207" formatCode="_-* #,##0.0000\ _€_-;\-* #,##0.0000\ _€_-;_-* &quot;-&quot;??\ _€_-;_-@_-"/>
    <numFmt numFmtId="208" formatCode="0.000000%"/>
    <numFmt numFmtId="209" formatCode="0.0000000000%"/>
    <numFmt numFmtId="210" formatCode="0.00000"/>
    <numFmt numFmtId="211" formatCode="0.000%"/>
    <numFmt numFmtId="212" formatCode="_-&quot;$&quot;\ * #,##0.0000_-;\-&quot;$&quot;\ * #,##0.0000_-;_-&quot;$&quot;\ * &quot;-&quot;??_-;_-@_-"/>
    <numFmt numFmtId="213" formatCode="_(* #,##0.00_);_(* \(#,##0.00\);_(* &quot;-&quot;??_);_(@_)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name val="Calibri"/>
      <family val="2"/>
      <scheme val="minor"/>
    </font>
    <font>
      <sz val="10"/>
      <name val="Arial"/>
      <family val="2"/>
    </font>
    <font>
      <b/>
      <sz val="10.5"/>
      <color theme="1"/>
      <name val="Calibri"/>
      <family val="2"/>
      <scheme val="minor"/>
    </font>
    <font>
      <sz val="8"/>
      <color theme="1"/>
      <name val="Tahoma"/>
      <family val="2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.5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b/>
      <sz val="12"/>
      <color rgb="FF000000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2"/>
      <color theme="1"/>
      <name val="Fuente de cuerpo"/>
      <family val="2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Arial Narrow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EFCE"/>
      </patternFill>
    </fill>
    <fill>
      <patternFill patternType="solid">
        <fgColor theme="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23919D"/>
      </left>
      <right/>
      <top style="thin">
        <color rgb="FF23919D"/>
      </top>
      <bottom style="thin">
        <color rgb="FF23919D"/>
      </bottom>
      <diagonal/>
    </border>
    <border>
      <left/>
      <right/>
      <top style="thin">
        <color rgb="FF23919D"/>
      </top>
      <bottom style="thin">
        <color rgb="FF23919D"/>
      </bottom>
      <diagonal/>
    </border>
    <border>
      <left/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/>
      <top style="thin">
        <color rgb="FF23919D"/>
      </top>
      <bottom/>
      <diagonal/>
    </border>
    <border>
      <left style="thin">
        <color rgb="FF23919D"/>
      </left>
      <right style="thin">
        <color rgb="FF23919D"/>
      </right>
      <top style="thin">
        <color rgb="FF23919D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01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164" fontId="5" fillId="0" borderId="0" applyFont="0" applyFill="0" applyBorder="0" applyAlignment="0" applyProtection="0"/>
    <xf numFmtId="0" fontId="7" fillId="0" borderId="0"/>
    <xf numFmtId="166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/>
    <xf numFmtId="170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5" fillId="0" borderId="0"/>
    <xf numFmtId="166" fontId="1" fillId="0" borderId="0" applyFont="0" applyFill="0" applyBorder="0" applyAlignment="0" applyProtection="0"/>
    <xf numFmtId="0" fontId="15" fillId="0" borderId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4" fillId="14" borderId="0" applyNumberFormat="0" applyBorder="0" applyAlignment="0" applyProtection="0"/>
    <xf numFmtId="0" fontId="2" fillId="0" borderId="30" applyNumberFormat="0" applyFill="0" applyAlignment="0" applyProtection="0"/>
    <xf numFmtId="0" fontId="25" fillId="0" borderId="0"/>
    <xf numFmtId="0" fontId="1" fillId="0" borderId="0"/>
    <xf numFmtId="44" fontId="1" fillId="0" borderId="0" applyFont="0" applyFill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19" borderId="0" applyNumberFormat="0" applyBorder="0" applyAlignment="0" applyProtection="0"/>
    <xf numFmtId="0" fontId="30" fillId="22" borderId="0" applyNumberFormat="0" applyBorder="0" applyAlignment="0" applyProtection="0"/>
    <xf numFmtId="0" fontId="30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32" fillId="18" borderId="0" applyNumberFormat="0" applyBorder="0" applyAlignment="0" applyProtection="0"/>
    <xf numFmtId="0" fontId="33" fillId="30" borderId="40" applyNumberFormat="0" applyAlignment="0" applyProtection="0"/>
    <xf numFmtId="0" fontId="34" fillId="31" borderId="41" applyNumberFormat="0" applyAlignment="0" applyProtection="0"/>
    <xf numFmtId="0" fontId="35" fillId="0" borderId="42" applyNumberFormat="0" applyFill="0" applyAlignment="0" applyProtection="0"/>
    <xf numFmtId="0" fontId="36" fillId="0" borderId="0" applyNumberFormat="0" applyFill="0" applyBorder="0" applyAlignment="0" applyProtection="0"/>
    <xf numFmtId="0" fontId="31" fillId="32" borderId="0" applyNumberFormat="0" applyBorder="0" applyAlignment="0" applyProtection="0"/>
    <xf numFmtId="0" fontId="31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5" borderId="0" applyNumberFormat="0" applyBorder="0" applyAlignment="0" applyProtection="0"/>
    <xf numFmtId="0" fontId="37" fillId="21" borderId="40" applyNumberFormat="0" applyAlignment="0" applyProtection="0"/>
    <xf numFmtId="0" fontId="47" fillId="0" borderId="0">
      <alignment vertical="top"/>
    </xf>
    <xf numFmtId="187" fontId="5" fillId="0" borderId="0" applyFont="0" applyFill="0" applyBorder="0" applyAlignment="0" applyProtection="0"/>
    <xf numFmtId="0" fontId="38" fillId="17" borderId="0" applyNumberFormat="0" applyBorder="0" applyAlignment="0" applyProtection="0"/>
    <xf numFmtId="2" fontId="28" fillId="0" borderId="43" applyFont="0" applyBorder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3" fontId="30" fillId="0" borderId="0" applyFont="0" applyFill="0" applyBorder="0" applyAlignment="0" applyProtection="0"/>
    <xf numFmtId="18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30" fillId="0" borderId="0" applyFont="0" applyFill="0" applyBorder="0" applyAlignment="0" applyProtection="0"/>
    <xf numFmtId="181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9" fillId="36" borderId="0" applyNumberFormat="0" applyBorder="0" applyAlignment="0" applyProtection="0"/>
    <xf numFmtId="0" fontId="39" fillId="3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37" borderId="44" applyNumberFormat="0" applyFont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0" fillId="30" borderId="45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4" fillId="0" borderId="46" applyNumberFormat="0" applyFill="0" applyAlignment="0" applyProtection="0"/>
    <xf numFmtId="0" fontId="45" fillId="0" borderId="47" applyNumberFormat="0" applyFill="0" applyAlignment="0" applyProtection="0"/>
    <xf numFmtId="0" fontId="36" fillId="0" borderId="48" applyNumberFormat="0" applyFill="0" applyAlignment="0" applyProtection="0"/>
    <xf numFmtId="0" fontId="43" fillId="0" borderId="0" applyNumberFormat="0" applyFill="0" applyBorder="0" applyAlignment="0" applyProtection="0"/>
    <xf numFmtId="0" fontId="46" fillId="0" borderId="49" applyNumberFormat="0" applyFill="0" applyAlignment="0" applyProtection="0"/>
    <xf numFmtId="0" fontId="46" fillId="0" borderId="49" applyNumberFormat="0" applyFill="0" applyAlignment="0" applyProtection="0"/>
    <xf numFmtId="16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85" fontId="5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19" borderId="0" applyNumberFormat="0" applyBorder="0" applyAlignment="0" applyProtection="0"/>
    <xf numFmtId="0" fontId="30" fillId="22" borderId="0" applyNumberFormat="0" applyBorder="0" applyAlignment="0" applyProtection="0"/>
    <xf numFmtId="0" fontId="30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32" fillId="18" borderId="0" applyNumberFormat="0" applyBorder="0" applyAlignment="0" applyProtection="0"/>
    <xf numFmtId="0" fontId="33" fillId="30" borderId="40" applyNumberFormat="0" applyAlignment="0" applyProtection="0"/>
    <xf numFmtId="0" fontId="5" fillId="0" borderId="0"/>
    <xf numFmtId="0" fontId="34" fillId="31" borderId="41" applyNumberFormat="0" applyAlignment="0" applyProtection="0"/>
    <xf numFmtId="0" fontId="35" fillId="0" borderId="42" applyNumberFormat="0" applyFill="0" applyAlignment="0" applyProtection="0"/>
    <xf numFmtId="188" fontId="28" fillId="0" borderId="37">
      <alignment horizontal="right"/>
    </xf>
    <xf numFmtId="188" fontId="28" fillId="0" borderId="37">
      <alignment horizontal="right"/>
    </xf>
    <xf numFmtId="2" fontId="28" fillId="0" borderId="0"/>
    <xf numFmtId="2" fontId="28" fillId="0" borderId="0"/>
    <xf numFmtId="2" fontId="28" fillId="0" borderId="0"/>
    <xf numFmtId="172" fontId="28" fillId="0" borderId="0"/>
    <xf numFmtId="172" fontId="28" fillId="0" borderId="0"/>
    <xf numFmtId="172" fontId="28" fillId="0" borderId="0"/>
    <xf numFmtId="189" fontId="29" fillId="0" borderId="0"/>
    <xf numFmtId="189" fontId="29" fillId="0" borderId="0"/>
    <xf numFmtId="189" fontId="29" fillId="0" borderId="0"/>
    <xf numFmtId="188" fontId="28" fillId="0" borderId="37">
      <alignment horizontal="right"/>
    </xf>
    <xf numFmtId="190" fontId="5" fillId="0" borderId="0">
      <protection locked="0"/>
    </xf>
    <xf numFmtId="3" fontId="48" fillId="0" borderId="0" applyFont="0" applyFill="0" applyBorder="0" applyAlignment="0" applyProtection="0"/>
    <xf numFmtId="191" fontId="5" fillId="0" borderId="0">
      <protection locked="0"/>
    </xf>
    <xf numFmtId="192" fontId="48" fillId="0" borderId="0" applyFont="0" applyFill="0" applyBorder="0" applyAlignment="0" applyProtection="0"/>
    <xf numFmtId="193" fontId="5" fillId="0" borderId="0">
      <protection locked="0"/>
    </xf>
    <xf numFmtId="0" fontId="36" fillId="0" borderId="0" applyNumberFormat="0" applyFill="0" applyBorder="0" applyAlignment="0" applyProtection="0"/>
    <xf numFmtId="0" fontId="31" fillId="32" borderId="0" applyNumberFormat="0" applyBorder="0" applyAlignment="0" applyProtection="0"/>
    <xf numFmtId="0" fontId="31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5" borderId="0" applyNumberFormat="0" applyBorder="0" applyAlignment="0" applyProtection="0"/>
    <xf numFmtId="0" fontId="37" fillId="21" borderId="40" applyNumberFormat="0" applyAlignment="0" applyProtection="0"/>
    <xf numFmtId="194" fontId="49" fillId="0" borderId="0">
      <protection locked="0"/>
    </xf>
    <xf numFmtId="194" fontId="49" fillId="0" borderId="0">
      <protection locked="0"/>
    </xf>
    <xf numFmtId="194" fontId="49" fillId="0" borderId="0">
      <protection locked="0"/>
    </xf>
    <xf numFmtId="194" fontId="49" fillId="0" borderId="0">
      <protection locked="0"/>
    </xf>
    <xf numFmtId="194" fontId="49" fillId="0" borderId="0">
      <protection locked="0"/>
    </xf>
    <xf numFmtId="194" fontId="49" fillId="0" borderId="0">
      <protection locked="0"/>
    </xf>
    <xf numFmtId="194" fontId="49" fillId="0" borderId="0">
      <protection locked="0"/>
    </xf>
    <xf numFmtId="195" fontId="5" fillId="0" borderId="0">
      <protection locked="0"/>
    </xf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96" fontId="5" fillId="0" borderId="0">
      <protection locked="0"/>
    </xf>
    <xf numFmtId="196" fontId="5" fillId="0" borderId="0">
      <protection locked="0"/>
    </xf>
    <xf numFmtId="0" fontId="38" fillId="17" borderId="0" applyNumberFormat="0" applyBorder="0" applyAlignment="0" applyProtection="0"/>
    <xf numFmtId="197" fontId="28" fillId="0" borderId="0">
      <alignment horizontal="right"/>
    </xf>
    <xf numFmtId="197" fontId="28" fillId="0" borderId="0">
      <alignment horizontal="right"/>
    </xf>
    <xf numFmtId="197" fontId="28" fillId="0" borderId="0">
      <alignment horizontal="right"/>
    </xf>
    <xf numFmtId="198" fontId="28" fillId="0" borderId="0" applyFont="0" applyFill="0" applyBorder="0" applyAlignment="0">
      <alignment horizontal="center"/>
    </xf>
    <xf numFmtId="198" fontId="28" fillId="0" borderId="0" applyFont="0" applyFill="0" applyBorder="0" applyAlignment="0">
      <alignment horizontal="center"/>
    </xf>
    <xf numFmtId="2" fontId="28" fillId="0" borderId="43" applyFont="0" applyBorder="0"/>
    <xf numFmtId="43" fontId="30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99" fontId="28" fillId="0" borderId="0">
      <alignment horizontal="right"/>
    </xf>
    <xf numFmtId="199" fontId="28" fillId="0" borderId="0">
      <alignment horizontal="right"/>
    </xf>
    <xf numFmtId="199" fontId="28" fillId="0" borderId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30" fillId="0" borderId="0" applyFont="0" applyFill="0" applyBorder="0" applyAlignment="0" applyProtection="0"/>
    <xf numFmtId="192" fontId="52" fillId="0" borderId="0" applyFont="0" applyFill="0" applyBorder="0" applyAlignment="0" applyProtection="0"/>
    <xf numFmtId="0" fontId="39" fillId="36" borderId="0" applyNumberFormat="0" applyBorder="0" applyAlignment="0" applyProtection="0"/>
    <xf numFmtId="201" fontId="28" fillId="0" borderId="0" applyFont="0" applyFill="0" applyBorder="0" applyAlignment="0">
      <alignment horizontal="center"/>
    </xf>
    <xf numFmtId="201" fontId="28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21" fillId="0" borderId="0"/>
    <xf numFmtId="0" fontId="1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3" fillId="0" borderId="0"/>
    <xf numFmtId="0" fontId="5" fillId="0" borderId="0"/>
    <xf numFmtId="0" fontId="5" fillId="37" borderId="44" applyNumberFormat="0" applyFont="0" applyAlignment="0" applyProtection="0"/>
    <xf numFmtId="20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54" fillId="0" borderId="0">
      <alignment vertical="top"/>
    </xf>
    <xf numFmtId="0" fontId="40" fillId="30" borderId="45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4" fillId="0" borderId="46" applyNumberFormat="0" applyFill="0" applyAlignment="0" applyProtection="0"/>
    <xf numFmtId="0" fontId="45" fillId="0" borderId="47" applyNumberFormat="0" applyFill="0" applyAlignment="0" applyProtection="0"/>
    <xf numFmtId="0" fontId="36" fillId="0" borderId="48" applyNumberFormat="0" applyFill="0" applyAlignment="0" applyProtection="0"/>
    <xf numFmtId="0" fontId="43" fillId="0" borderId="0" applyNumberFormat="0" applyFill="0" applyBorder="0" applyAlignment="0" applyProtection="0"/>
    <xf numFmtId="196" fontId="5" fillId="0" borderId="50">
      <protection locked="0"/>
    </xf>
    <xf numFmtId="44" fontId="5" fillId="0" borderId="0" applyFont="0" applyFill="0" applyBorder="0" applyAlignment="0" applyProtection="0"/>
    <xf numFmtId="0" fontId="1" fillId="0" borderId="0"/>
    <xf numFmtId="42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55" fillId="0" borderId="0"/>
    <xf numFmtId="43" fontId="5" fillId="0" borderId="0" applyFont="0" applyFill="0" applyBorder="0" applyAlignment="0" applyProtection="0"/>
    <xf numFmtId="170" fontId="15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206" fontId="5" fillId="0" borderId="0"/>
    <xf numFmtId="43" fontId="5" fillId="0" borderId="0" applyFont="0" applyFill="0" applyBorder="0" applyAlignment="0" applyProtection="0"/>
    <xf numFmtId="0" fontId="64" fillId="0" borderId="0" applyNumberFormat="0" applyFill="0" applyBorder="0" applyAlignment="0" applyProtection="0"/>
  </cellStyleXfs>
  <cellXfs count="564">
    <xf numFmtId="0" fontId="0" fillId="0" borderId="0" xfId="0"/>
    <xf numFmtId="0" fontId="1" fillId="0" borderId="0" xfId="3" applyAlignment="1">
      <alignment horizontal="center" vertical="center"/>
    </xf>
    <xf numFmtId="0" fontId="1" fillId="0" borderId="0" xfId="5" applyFont="1" applyAlignment="1">
      <alignment horizontal="center" vertical="center"/>
    </xf>
    <xf numFmtId="167" fontId="1" fillId="0" borderId="0" xfId="5" applyNumberFormat="1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7" borderId="15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/>
    </xf>
    <xf numFmtId="2" fontId="10" fillId="7" borderId="19" xfId="0" applyNumberFormat="1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2" fontId="10" fillId="0" borderId="1" xfId="0" applyNumberFormat="1" applyFont="1" applyBorder="1" applyAlignment="1">
      <alignment horizontal="center" wrapText="1"/>
    </xf>
    <xf numFmtId="2" fontId="12" fillId="8" borderId="19" xfId="0" applyNumberFormat="1" applyFont="1" applyFill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4" fillId="0" borderId="1" xfId="0" applyFont="1" applyBorder="1" applyAlignment="1">
      <alignment vertical="justify" wrapText="1"/>
    </xf>
    <xf numFmtId="2" fontId="14" fillId="0" borderId="20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 vertical="justify" wrapText="1"/>
    </xf>
    <xf numFmtId="2" fontId="14" fillId="0" borderId="19" xfId="0" applyNumberFormat="1" applyFont="1" applyBorder="1" applyAlignment="1">
      <alignment horizontal="center" vertical="justify" wrapText="1"/>
    </xf>
    <xf numFmtId="2" fontId="0" fillId="0" borderId="0" xfId="0" applyNumberFormat="1"/>
    <xf numFmtId="0" fontId="10" fillId="0" borderId="1" xfId="0" applyFont="1" applyBorder="1" applyAlignment="1">
      <alignment horizontal="center"/>
    </xf>
    <xf numFmtId="0" fontId="0" fillId="0" borderId="17" xfId="0" applyBorder="1" applyAlignment="1">
      <alignment horizontal="left"/>
    </xf>
    <xf numFmtId="0" fontId="16" fillId="2" borderId="26" xfId="10" applyFont="1" applyFill="1" applyBorder="1"/>
    <xf numFmtId="0" fontId="16" fillId="2" borderId="0" xfId="10" applyFont="1" applyFill="1"/>
    <xf numFmtId="0" fontId="16" fillId="2" borderId="6" xfId="10" applyFont="1" applyFill="1" applyBorder="1" applyAlignment="1">
      <alignment horizontal="center" vertical="center"/>
    </xf>
    <xf numFmtId="0" fontId="16" fillId="0" borderId="1" xfId="10" applyFont="1" applyBorder="1" applyAlignment="1">
      <alignment horizontal="center"/>
    </xf>
    <xf numFmtId="0" fontId="17" fillId="0" borderId="1" xfId="10" applyFont="1" applyBorder="1" applyAlignment="1">
      <alignment horizontal="center"/>
    </xf>
    <xf numFmtId="2" fontId="16" fillId="0" borderId="1" xfId="10" applyNumberFormat="1" applyFont="1" applyBorder="1" applyAlignment="1">
      <alignment horizontal="center" vertical="center"/>
    </xf>
    <xf numFmtId="0" fontId="17" fillId="0" borderId="1" xfId="10" applyFont="1" applyBorder="1" applyAlignment="1">
      <alignment horizontal="center" vertical="center"/>
    </xf>
    <xf numFmtId="2" fontId="16" fillId="0" borderId="1" xfId="10" applyNumberFormat="1" applyFont="1" applyBorder="1" applyAlignment="1">
      <alignment horizontal="center"/>
    </xf>
    <xf numFmtId="168" fontId="16" fillId="0" borderId="1" xfId="11" applyNumberFormat="1" applyFont="1" applyBorder="1"/>
    <xf numFmtId="168" fontId="16" fillId="0" borderId="1" xfId="11" applyNumberFormat="1" applyFont="1" applyBorder="1" applyAlignment="1">
      <alignment horizontal="center" vertical="center"/>
    </xf>
    <xf numFmtId="2" fontId="16" fillId="0" borderId="1" xfId="12" applyNumberFormat="1" applyFont="1" applyBorder="1" applyAlignment="1">
      <alignment horizontal="center"/>
    </xf>
    <xf numFmtId="0" fontId="16" fillId="0" borderId="27" xfId="10" applyFont="1" applyBorder="1" applyAlignment="1">
      <alignment horizontal="center"/>
    </xf>
    <xf numFmtId="2" fontId="16" fillId="0" borderId="27" xfId="10" applyNumberFormat="1" applyFont="1" applyBorder="1" applyAlignment="1">
      <alignment horizontal="center"/>
    </xf>
    <xf numFmtId="168" fontId="16" fillId="0" borderId="27" xfId="11" applyNumberFormat="1" applyFont="1" applyBorder="1"/>
    <xf numFmtId="0" fontId="18" fillId="0" borderId="1" xfId="0" applyFont="1" applyBorder="1" applyAlignment="1">
      <alignment horizontal="center" vertical="center"/>
    </xf>
    <xf numFmtId="9" fontId="16" fillId="0" borderId="1" xfId="0" applyNumberFormat="1" applyFont="1" applyBorder="1" applyAlignment="1">
      <alignment horizontal="center"/>
    </xf>
    <xf numFmtId="168" fontId="18" fillId="0" borderId="1" xfId="9" applyNumberFormat="1" applyFont="1" applyBorder="1" applyAlignment="1">
      <alignment horizontal="center" vertical="center"/>
    </xf>
    <xf numFmtId="0" fontId="17" fillId="2" borderId="20" xfId="10" applyFont="1" applyFill="1" applyBorder="1" applyAlignment="1">
      <alignment horizontal="center"/>
    </xf>
    <xf numFmtId="168" fontId="16" fillId="2" borderId="1" xfId="11" applyNumberFormat="1" applyFont="1" applyFill="1" applyBorder="1" applyAlignment="1">
      <alignment horizontal="center" vertical="center"/>
    </xf>
    <xf numFmtId="171" fontId="16" fillId="0" borderId="1" xfId="13" applyFont="1" applyBorder="1"/>
    <xf numFmtId="0" fontId="16" fillId="0" borderId="1" xfId="10" applyFont="1" applyBorder="1"/>
    <xf numFmtId="170" fontId="16" fillId="0" borderId="1" xfId="11" applyFont="1" applyBorder="1" applyAlignment="1">
      <alignment horizontal="center" vertical="center"/>
    </xf>
    <xf numFmtId="0" fontId="17" fillId="2" borderId="1" xfId="10" applyFont="1" applyFill="1" applyBorder="1" applyAlignment="1">
      <alignment horizontal="center"/>
    </xf>
    <xf numFmtId="0" fontId="17" fillId="2" borderId="18" xfId="10" applyFont="1" applyFill="1" applyBorder="1" applyAlignment="1">
      <alignment horizontal="center"/>
    </xf>
    <xf numFmtId="170" fontId="16" fillId="2" borderId="16" xfId="11" applyFont="1" applyFill="1" applyBorder="1" applyAlignment="1">
      <alignment horizontal="center" vertical="center"/>
    </xf>
    <xf numFmtId="172" fontId="16" fillId="0" borderId="16" xfId="10" applyNumberFormat="1" applyFont="1" applyBorder="1" applyAlignment="1">
      <alignment horizontal="center"/>
    </xf>
    <xf numFmtId="0" fontId="16" fillId="2" borderId="1" xfId="10" applyFont="1" applyFill="1" applyBorder="1" applyAlignment="1">
      <alignment horizontal="center"/>
    </xf>
    <xf numFmtId="168" fontId="16" fillId="0" borderId="1" xfId="11" applyNumberFormat="1" applyFont="1" applyBorder="1" applyAlignment="1">
      <alignment horizontal="center"/>
    </xf>
    <xf numFmtId="172" fontId="16" fillId="0" borderId="1" xfId="10" applyNumberFormat="1" applyFont="1" applyBorder="1" applyAlignment="1">
      <alignment horizontal="center"/>
    </xf>
    <xf numFmtId="171" fontId="16" fillId="0" borderId="1" xfId="14" applyFont="1" applyBorder="1"/>
    <xf numFmtId="0" fontId="17" fillId="2" borderId="27" xfId="10" applyFont="1" applyFill="1" applyBorder="1" applyAlignment="1">
      <alignment horizontal="center"/>
    </xf>
    <xf numFmtId="0" fontId="17" fillId="0" borderId="27" xfId="10" applyFont="1" applyBorder="1" applyAlignment="1">
      <alignment horizontal="center" vertical="justify"/>
    </xf>
    <xf numFmtId="168" fontId="19" fillId="0" borderId="1" xfId="15" applyNumberFormat="1" applyFont="1" applyBorder="1"/>
    <xf numFmtId="168" fontId="16" fillId="0" borderId="1" xfId="10" applyNumberFormat="1" applyFont="1" applyBorder="1" applyAlignment="1">
      <alignment horizontal="center" vertical="center"/>
    </xf>
    <xf numFmtId="170" fontId="16" fillId="0" borderId="1" xfId="11" applyFont="1" applyBorder="1"/>
    <xf numFmtId="0" fontId="16" fillId="2" borderId="26" xfId="5" applyFont="1" applyFill="1" applyBorder="1"/>
    <xf numFmtId="0" fontId="16" fillId="2" borderId="0" xfId="5" applyFont="1" applyFill="1"/>
    <xf numFmtId="0" fontId="16" fillId="2" borderId="6" xfId="5" applyFont="1" applyFill="1" applyBorder="1" applyAlignment="1">
      <alignment horizontal="center" vertical="center"/>
    </xf>
    <xf numFmtId="0" fontId="16" fillId="2" borderId="26" xfId="0" applyFont="1" applyFill="1" applyBorder="1"/>
    <xf numFmtId="0" fontId="16" fillId="2" borderId="0" xfId="0" applyFont="1" applyFill="1"/>
    <xf numFmtId="0" fontId="16" fillId="2" borderId="6" xfId="0" applyFont="1" applyFill="1" applyBorder="1" applyAlignment="1">
      <alignment horizontal="center" vertical="center"/>
    </xf>
    <xf numFmtId="0" fontId="16" fillId="2" borderId="23" xfId="0" applyFont="1" applyFill="1" applyBorder="1"/>
    <xf numFmtId="0" fontId="16" fillId="2" borderId="29" xfId="0" applyFont="1" applyFill="1" applyBorder="1"/>
    <xf numFmtId="0" fontId="16" fillId="2" borderId="24" xfId="0" applyFont="1" applyFill="1" applyBorder="1" applyAlignment="1">
      <alignment horizontal="center" vertical="center"/>
    </xf>
    <xf numFmtId="9" fontId="16" fillId="0" borderId="1" xfId="9" applyFont="1" applyBorder="1" applyAlignment="1">
      <alignment horizontal="center"/>
    </xf>
    <xf numFmtId="174" fontId="16" fillId="0" borderId="1" xfId="8" applyNumberFormat="1" applyFont="1" applyBorder="1" applyAlignment="1">
      <alignment horizontal="center"/>
    </xf>
    <xf numFmtId="171" fontId="16" fillId="0" borderId="1" xfId="16" applyFont="1" applyBorder="1"/>
    <xf numFmtId="1" fontId="16" fillId="2" borderId="1" xfId="10" applyNumberFormat="1" applyFont="1" applyFill="1" applyBorder="1" applyAlignment="1">
      <alignment horizontal="center"/>
    </xf>
    <xf numFmtId="0" fontId="17" fillId="0" borderId="27" xfId="10" applyFont="1" applyBorder="1" applyAlignment="1">
      <alignment horizontal="center"/>
    </xf>
    <xf numFmtId="2" fontId="16" fillId="0" borderId="16" xfId="10" applyNumberFormat="1" applyFont="1" applyBorder="1" applyAlignment="1">
      <alignment horizontal="center"/>
    </xf>
    <xf numFmtId="0" fontId="16" fillId="0" borderId="0" xfId="10" applyFont="1"/>
    <xf numFmtId="0" fontId="17" fillId="0" borderId="1" xfId="10" applyFont="1" applyBorder="1"/>
    <xf numFmtId="2" fontId="16" fillId="0" borderId="1" xfId="9" applyNumberFormat="1" applyFont="1" applyBorder="1" applyAlignment="1">
      <alignment horizontal="center"/>
    </xf>
    <xf numFmtId="172" fontId="16" fillId="0" borderId="1" xfId="9" applyNumberFormat="1" applyFont="1" applyBorder="1" applyAlignment="1">
      <alignment horizontal="center"/>
    </xf>
    <xf numFmtId="0" fontId="16" fillId="0" borderId="0" xfId="10" applyFont="1" applyAlignment="1">
      <alignment horizontal="center"/>
    </xf>
    <xf numFmtId="166" fontId="16" fillId="0" borderId="0" xfId="10" applyNumberFormat="1" applyFont="1"/>
    <xf numFmtId="166" fontId="6" fillId="11" borderId="1" xfId="20" applyNumberFormat="1" applyFont="1" applyFill="1" applyBorder="1" applyAlignment="1">
      <alignment vertical="center"/>
    </xf>
    <xf numFmtId="9" fontId="4" fillId="0" borderId="1" xfId="9" applyFont="1" applyBorder="1" applyAlignment="1" applyProtection="1">
      <alignment horizontal="center" vertical="center"/>
      <protection hidden="1"/>
    </xf>
    <xf numFmtId="167" fontId="4" fillId="0" borderId="1" xfId="7" applyNumberFormat="1" applyFont="1" applyBorder="1" applyAlignment="1" applyProtection="1">
      <alignment horizontal="right" vertical="center"/>
      <protection hidden="1"/>
    </xf>
    <xf numFmtId="167" fontId="4" fillId="12" borderId="1" xfId="7" applyNumberFormat="1" applyFont="1" applyFill="1" applyBorder="1" applyAlignment="1" applyProtection="1">
      <alignment horizontal="right" vertical="center"/>
      <protection hidden="1"/>
    </xf>
    <xf numFmtId="0" fontId="22" fillId="0" borderId="26" xfId="3" applyFont="1" applyBorder="1"/>
    <xf numFmtId="0" fontId="22" fillId="0" borderId="0" xfId="3" applyFont="1" applyAlignment="1">
      <alignment horizontal="left"/>
    </xf>
    <xf numFmtId="0" fontId="6" fillId="0" borderId="0" xfId="3" applyFont="1" applyAlignment="1">
      <alignment horizontal="left"/>
    </xf>
    <xf numFmtId="0" fontId="22" fillId="0" borderId="23" xfId="3" applyFont="1" applyBorder="1"/>
    <xf numFmtId="0" fontId="22" fillId="0" borderId="29" xfId="3" applyFont="1" applyBorder="1" applyAlignment="1">
      <alignment horizontal="left"/>
    </xf>
    <xf numFmtId="170" fontId="4" fillId="2" borderId="26" xfId="21" applyFont="1" applyFill="1" applyBorder="1" applyAlignment="1" applyProtection="1">
      <alignment horizontal="center" vertical="center" wrapText="1"/>
      <protection hidden="1"/>
    </xf>
    <xf numFmtId="170" fontId="4" fillId="2" borderId="0" xfId="21" applyFont="1" applyFill="1" applyBorder="1" applyAlignment="1" applyProtection="1">
      <alignment horizontal="center" vertical="center" wrapText="1"/>
      <protection hidden="1"/>
    </xf>
    <xf numFmtId="167" fontId="4" fillId="2" borderId="6" xfId="7" applyNumberFormat="1" applyFont="1" applyFill="1" applyBorder="1" applyAlignment="1" applyProtection="1">
      <alignment horizontal="right" vertical="center"/>
      <protection hidden="1"/>
    </xf>
    <xf numFmtId="0" fontId="3" fillId="0" borderId="1" xfId="0" applyFont="1" applyBorder="1"/>
    <xf numFmtId="0" fontId="3" fillId="0" borderId="0" xfId="0" applyFont="1"/>
    <xf numFmtId="0" fontId="23" fillId="13" borderId="1" xfId="0" applyFont="1" applyFill="1" applyBorder="1"/>
    <xf numFmtId="0" fontId="23" fillId="1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176" fontId="0" fillId="0" borderId="1" xfId="22" applyNumberFormat="1" applyFont="1" applyBorder="1" applyAlignment="1">
      <alignment horizontal="center" vertical="center"/>
    </xf>
    <xf numFmtId="175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2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22" fillId="0" borderId="29" xfId="3" applyFont="1" applyBorder="1" applyAlignment="1">
      <alignment horizontal="center"/>
    </xf>
    <xf numFmtId="0" fontId="22" fillId="0" borderId="24" xfId="3" applyFont="1" applyBorder="1" applyAlignment="1">
      <alignment horizontal="center"/>
    </xf>
    <xf numFmtId="0" fontId="25" fillId="0" borderId="0" xfId="25"/>
    <xf numFmtId="3" fontId="11" fillId="15" borderId="34" xfId="23" applyNumberFormat="1" applyFont="1" applyFill="1" applyBorder="1" applyAlignment="1">
      <alignment horizontal="center" vertical="center"/>
    </xf>
    <xf numFmtId="177" fontId="11" fillId="15" borderId="34" xfId="24" applyNumberFormat="1" applyFont="1" applyFill="1" applyBorder="1" applyAlignment="1">
      <alignment vertical="center"/>
    </xf>
    <xf numFmtId="177" fontId="26" fillId="15" borderId="34" xfId="24" applyNumberFormat="1" applyFont="1" applyFill="1" applyBorder="1" applyAlignment="1" applyProtection="1">
      <alignment vertical="center"/>
    </xf>
    <xf numFmtId="0" fontId="11" fillId="15" borderId="34" xfId="24" applyNumberFormat="1" applyFont="1" applyFill="1" applyBorder="1" applyAlignment="1">
      <alignment vertical="center"/>
    </xf>
    <xf numFmtId="0" fontId="10" fillId="15" borderId="34" xfId="26" applyFont="1" applyFill="1" applyBorder="1" applyAlignment="1">
      <alignment horizontal="center" vertical="center"/>
    </xf>
    <xf numFmtId="0" fontId="11" fillId="15" borderId="34" xfId="24" applyFont="1" applyFill="1" applyBorder="1" applyAlignment="1" applyProtection="1">
      <alignment horizontal="center" vertical="center"/>
    </xf>
    <xf numFmtId="3" fontId="11" fillId="15" borderId="34" xfId="23" applyNumberFormat="1" applyFont="1" applyFill="1" applyBorder="1" applyAlignment="1" applyProtection="1">
      <alignment horizontal="center" vertical="center"/>
    </xf>
    <xf numFmtId="0" fontId="11" fillId="15" borderId="34" xfId="24" applyFont="1" applyFill="1" applyBorder="1" applyAlignment="1" applyProtection="1">
      <alignment horizontal="center" vertical="center" wrapText="1"/>
    </xf>
    <xf numFmtId="0" fontId="11" fillId="15" borderId="35" xfId="24" applyFont="1" applyFill="1" applyBorder="1" applyAlignment="1" applyProtection="1">
      <alignment horizontal="center" vertical="center" wrapText="1"/>
    </xf>
    <xf numFmtId="0" fontId="14" fillId="2" borderId="34" xfId="26" applyFont="1" applyFill="1" applyBorder="1" applyAlignment="1">
      <alignment horizontal="center" vertical="center"/>
    </xf>
    <xf numFmtId="0" fontId="14" fillId="2" borderId="34" xfId="24" applyFont="1" applyFill="1" applyBorder="1" applyAlignment="1" applyProtection="1">
      <alignment horizontal="center" vertical="center"/>
    </xf>
    <xf numFmtId="0" fontId="14" fillId="2" borderId="34" xfId="24" applyFont="1" applyFill="1" applyBorder="1" applyAlignment="1" applyProtection="1">
      <alignment horizontal="left" vertical="center" wrapText="1"/>
    </xf>
    <xf numFmtId="178" fontId="27" fillId="15" borderId="36" xfId="23" applyNumberFormat="1" applyFont="1" applyFill="1" applyBorder="1" applyAlignment="1" applyProtection="1">
      <alignment vertical="center"/>
    </xf>
    <xf numFmtId="0" fontId="14" fillId="2" borderId="34" xfId="24" applyFont="1" applyFill="1" applyBorder="1" applyAlignment="1" applyProtection="1">
      <alignment horizontal="center" vertical="center" wrapText="1"/>
    </xf>
    <xf numFmtId="0" fontId="14" fillId="2" borderId="34" xfId="24" applyFont="1" applyFill="1" applyBorder="1" applyAlignment="1">
      <alignment horizontal="center" vertical="center" wrapText="1"/>
    </xf>
    <xf numFmtId="44" fontId="14" fillId="2" borderId="34" xfId="27" applyFont="1" applyFill="1" applyBorder="1" applyAlignment="1">
      <alignment horizontal="center" vertical="center" wrapText="1"/>
    </xf>
    <xf numFmtId="178" fontId="14" fillId="2" borderId="34" xfId="24" applyNumberFormat="1" applyFont="1" applyFill="1" applyBorder="1" applyAlignment="1">
      <alignment horizontal="center" vertical="center" wrapText="1"/>
    </xf>
    <xf numFmtId="0" fontId="14" fillId="2" borderId="34" xfId="24" applyFont="1" applyFill="1" applyBorder="1" applyAlignment="1">
      <alignment horizontal="center" vertical="center"/>
    </xf>
    <xf numFmtId="0" fontId="1" fillId="0" borderId="0" xfId="26"/>
    <xf numFmtId="0" fontId="0" fillId="0" borderId="0" xfId="0" applyAlignment="1">
      <alignment horizontal="left"/>
    </xf>
    <xf numFmtId="0" fontId="0" fillId="0" borderId="18" xfId="0" applyBorder="1" applyAlignment="1">
      <alignment horizontal="left"/>
    </xf>
    <xf numFmtId="2" fontId="14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4" fontId="0" fillId="0" borderId="0" xfId="22" applyFont="1"/>
    <xf numFmtId="0" fontId="0" fillId="0" borderId="16" xfId="0" applyBorder="1" applyAlignment="1">
      <alignment horizontal="left"/>
    </xf>
    <xf numFmtId="0" fontId="10" fillId="7" borderId="1" xfId="0" applyFont="1" applyFill="1" applyBorder="1" applyAlignment="1">
      <alignment horizontal="center" wrapText="1"/>
    </xf>
    <xf numFmtId="0" fontId="10" fillId="7" borderId="1" xfId="0" applyFont="1" applyFill="1" applyBorder="1" applyAlignment="1">
      <alignment horizontal="center" vertical="justify"/>
    </xf>
    <xf numFmtId="0" fontId="10" fillId="7" borderId="1" xfId="0" applyFont="1" applyFill="1" applyBorder="1" applyAlignment="1">
      <alignment horizontal="center" vertical="justify" wrapText="1"/>
    </xf>
    <xf numFmtId="0" fontId="10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justify" vertical="justify"/>
    </xf>
    <xf numFmtId="43" fontId="23" fillId="13" borderId="1" xfId="1" applyFont="1" applyFill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  <xf numFmtId="43" fontId="3" fillId="0" borderId="1" xfId="1" applyFont="1" applyBorder="1"/>
    <xf numFmtId="43" fontId="3" fillId="0" borderId="0" xfId="1" applyFont="1"/>
    <xf numFmtId="43" fontId="0" fillId="0" borderId="0" xfId="1" applyFont="1"/>
    <xf numFmtId="43" fontId="0" fillId="0" borderId="1" xfId="1" applyFont="1" applyBorder="1" applyAlignment="1">
      <alignment vertical="center"/>
    </xf>
    <xf numFmtId="43" fontId="16" fillId="0" borderId="1" xfId="1" applyFont="1" applyBorder="1" applyAlignment="1">
      <alignment horizontal="center"/>
    </xf>
    <xf numFmtId="43" fontId="0" fillId="0" borderId="1" xfId="1" applyFont="1" applyBorder="1" applyAlignment="1">
      <alignment horizontal="center"/>
    </xf>
    <xf numFmtId="0" fontId="0" fillId="0" borderId="0" xfId="0" applyAlignment="1">
      <alignment wrapText="1"/>
    </xf>
    <xf numFmtId="44" fontId="16" fillId="2" borderId="1" xfId="22" applyFont="1" applyFill="1" applyBorder="1" applyAlignment="1">
      <alignment horizontal="center"/>
    </xf>
    <xf numFmtId="43" fontId="16" fillId="2" borderId="1" xfId="1" applyFont="1" applyFill="1" applyBorder="1" applyAlignment="1">
      <alignment horizontal="center"/>
    </xf>
    <xf numFmtId="0" fontId="23" fillId="1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6" xfId="0" applyFont="1" applyBorder="1"/>
    <xf numFmtId="0" fontId="0" fillId="0" borderId="16" xfId="0" applyBorder="1" applyAlignment="1">
      <alignment horizontal="left" vertical="top"/>
    </xf>
    <xf numFmtId="0" fontId="3" fillId="0" borderId="16" xfId="0" applyFont="1" applyBorder="1" applyAlignment="1">
      <alignment wrapText="1"/>
    </xf>
    <xf numFmtId="1" fontId="0" fillId="0" borderId="17" xfId="0" applyNumberFormat="1" applyBorder="1" applyAlignment="1">
      <alignment horizontal="center"/>
    </xf>
    <xf numFmtId="0" fontId="3" fillId="0" borderId="17" xfId="0" applyFont="1" applyBorder="1"/>
    <xf numFmtId="1" fontId="0" fillId="0" borderId="17" xfId="0" applyNumberFormat="1" applyBorder="1" applyAlignment="1">
      <alignment horizontal="center" vertical="center"/>
    </xf>
    <xf numFmtId="0" fontId="23" fillId="13" borderId="20" xfId="0" applyFont="1" applyFill="1" applyBorder="1" applyAlignment="1">
      <alignment horizontal="center" vertical="center"/>
    </xf>
    <xf numFmtId="0" fontId="23" fillId="13" borderId="20" xfId="0" applyFont="1" applyFill="1" applyBorder="1" applyAlignment="1">
      <alignment horizontal="center" vertical="center" wrapText="1"/>
    </xf>
    <xf numFmtId="175" fontId="23" fillId="13" borderId="20" xfId="0" applyNumberFormat="1" applyFont="1" applyFill="1" applyBorder="1" applyAlignment="1">
      <alignment horizontal="center" vertical="center"/>
    </xf>
    <xf numFmtId="1" fontId="23" fillId="13" borderId="23" xfId="0" applyNumberFormat="1" applyFont="1" applyFill="1" applyBorder="1" applyAlignment="1">
      <alignment horizontal="center" vertical="center"/>
    </xf>
    <xf numFmtId="0" fontId="3" fillId="0" borderId="22" xfId="0" applyFont="1" applyBorder="1"/>
    <xf numFmtId="0" fontId="3" fillId="0" borderId="27" xfId="0" applyFont="1" applyBorder="1"/>
    <xf numFmtId="176" fontId="0" fillId="0" borderId="27" xfId="22" applyNumberFormat="1" applyFont="1" applyBorder="1" applyAlignment="1">
      <alignment horizontal="center" vertical="center"/>
    </xf>
    <xf numFmtId="175" fontId="0" fillId="0" borderId="27" xfId="0" applyNumberFormat="1" applyBorder="1" applyAlignment="1">
      <alignment horizontal="center" vertical="center"/>
    </xf>
    <xf numFmtId="0" fontId="3" fillId="0" borderId="21" xfId="0" applyFont="1" applyBorder="1"/>
    <xf numFmtId="0" fontId="0" fillId="0" borderId="29" xfId="0" applyBorder="1"/>
    <xf numFmtId="44" fontId="3" fillId="0" borderId="1" xfId="22" applyFont="1" applyBorder="1"/>
    <xf numFmtId="44" fontId="0" fillId="0" borderId="1" xfId="22" applyFont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43" fontId="16" fillId="0" borderId="1" xfId="10" applyNumberFormat="1" applyFont="1" applyBorder="1" applyAlignment="1">
      <alignment horizontal="center"/>
    </xf>
    <xf numFmtId="44" fontId="0" fillId="0" borderId="1" xfId="22" applyFont="1" applyBorder="1" applyAlignment="1">
      <alignment vertical="center"/>
    </xf>
    <xf numFmtId="0" fontId="16" fillId="0" borderId="1" xfId="8" applyNumberFormat="1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176" fontId="3" fillId="0" borderId="1" xfId="22" applyNumberFormat="1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/>
    </xf>
    <xf numFmtId="0" fontId="3" fillId="0" borderId="16" xfId="0" applyFont="1" applyBorder="1" applyAlignment="1">
      <alignment horizontal="left" wrapText="1"/>
    </xf>
    <xf numFmtId="179" fontId="25" fillId="0" borderId="0" xfId="25" applyNumberFormat="1"/>
    <xf numFmtId="0" fontId="23" fillId="0" borderId="0" xfId="294" applyFont="1"/>
    <xf numFmtId="0" fontId="14" fillId="0" borderId="0" xfId="294" applyFont="1"/>
    <xf numFmtId="0" fontId="23" fillId="38" borderId="0" xfId="294" applyFont="1" applyFill="1"/>
    <xf numFmtId="0" fontId="1" fillId="0" borderId="0" xfId="294" applyAlignment="1">
      <alignment horizontal="center"/>
    </xf>
    <xf numFmtId="0" fontId="1" fillId="0" borderId="0" xfId="294"/>
    <xf numFmtId="0" fontId="15" fillId="0" borderId="0" xfId="0" applyFont="1"/>
    <xf numFmtId="0" fontId="57" fillId="2" borderId="0" xfId="0" applyFont="1" applyFill="1"/>
    <xf numFmtId="0" fontId="11" fillId="2" borderId="0" xfId="0" applyFont="1" applyFill="1"/>
    <xf numFmtId="0" fontId="23" fillId="2" borderId="0" xfId="294" applyFont="1" applyFill="1"/>
    <xf numFmtId="0" fontId="1" fillId="2" borderId="0" xfId="294" applyFill="1" applyAlignment="1">
      <alignment horizontal="center"/>
    </xf>
    <xf numFmtId="0" fontId="1" fillId="2" borderId="0" xfId="294" applyFill="1"/>
    <xf numFmtId="0" fontId="0" fillId="2" borderId="0" xfId="0" applyFill="1"/>
    <xf numFmtId="203" fontId="23" fillId="38" borderId="0" xfId="294" applyNumberFormat="1" applyFont="1" applyFill="1"/>
    <xf numFmtId="0" fontId="58" fillId="2" borderId="0" xfId="294" applyFont="1" applyFill="1"/>
    <xf numFmtId="44" fontId="14" fillId="0" borderId="0" xfId="294" applyNumberFormat="1" applyFont="1"/>
    <xf numFmtId="43" fontId="60" fillId="2" borderId="0" xfId="1" applyFont="1" applyFill="1" applyBorder="1" applyAlignment="1">
      <alignment vertical="center"/>
    </xf>
    <xf numFmtId="203" fontId="58" fillId="2" borderId="0" xfId="294" applyNumberFormat="1" applyFont="1" applyFill="1"/>
    <xf numFmtId="171" fontId="59" fillId="2" borderId="7" xfId="295" applyFont="1" applyFill="1" applyBorder="1" applyAlignment="1">
      <alignment horizontal="center"/>
    </xf>
    <xf numFmtId="0" fontId="59" fillId="2" borderId="0" xfId="294" applyFont="1" applyFill="1" applyAlignment="1">
      <alignment horizontal="center"/>
    </xf>
    <xf numFmtId="0" fontId="59" fillId="2" borderId="0" xfId="294" applyFont="1" applyFill="1"/>
    <xf numFmtId="0" fontId="59" fillId="2" borderId="5" xfId="294" applyFont="1" applyFill="1" applyBorder="1" applyAlignment="1">
      <alignment horizontal="left" vertical="center"/>
    </xf>
    <xf numFmtId="171" fontId="61" fillId="0" borderId="0" xfId="295" applyFont="1" applyFill="1" applyAlignment="1">
      <alignment vertical="center" wrapText="1"/>
    </xf>
    <xf numFmtId="43" fontId="23" fillId="38" borderId="0" xfId="1" applyFont="1" applyFill="1"/>
    <xf numFmtId="43" fontId="58" fillId="38" borderId="0" xfId="294" applyNumberFormat="1" applyFont="1" applyFill="1"/>
    <xf numFmtId="171" fontId="62" fillId="39" borderId="14" xfId="296" applyNumberFormat="1" applyFont="1" applyFill="1" applyBorder="1" applyAlignment="1">
      <alignment horizontal="center"/>
    </xf>
    <xf numFmtId="10" fontId="62" fillId="39" borderId="14" xfId="296" applyNumberFormat="1" applyFont="1" applyFill="1" applyBorder="1" applyAlignment="1">
      <alignment horizontal="center"/>
    </xf>
    <xf numFmtId="0" fontId="62" fillId="39" borderId="13" xfId="294" applyFont="1" applyFill="1" applyBorder="1" applyAlignment="1">
      <alignment horizontal="center"/>
    </xf>
    <xf numFmtId="0" fontId="62" fillId="39" borderId="12" xfId="294" applyFont="1" applyFill="1" applyBorder="1" applyAlignment="1">
      <alignment horizontal="center"/>
    </xf>
    <xf numFmtId="171" fontId="14" fillId="0" borderId="0" xfId="294" applyNumberFormat="1" applyFont="1"/>
    <xf numFmtId="0" fontId="58" fillId="38" borderId="0" xfId="294" applyFont="1" applyFill="1"/>
    <xf numFmtId="171" fontId="59" fillId="0" borderId="7" xfId="294" applyNumberFormat="1" applyFont="1" applyBorder="1" applyAlignment="1">
      <alignment horizontal="center"/>
    </xf>
    <xf numFmtId="10" fontId="59" fillId="0" borderId="7" xfId="294" applyNumberFormat="1" applyFont="1" applyBorder="1" applyAlignment="1">
      <alignment horizontal="center"/>
    </xf>
    <xf numFmtId="0" fontId="59" fillId="0" borderId="0" xfId="294" applyFont="1"/>
    <xf numFmtId="0" fontId="59" fillId="0" borderId="5" xfId="294" applyFont="1" applyBorder="1" applyAlignment="1">
      <alignment horizontal="center"/>
    </xf>
    <xf numFmtId="204" fontId="0" fillId="0" borderId="0" xfId="0" applyNumberFormat="1"/>
    <xf numFmtId="42" fontId="14" fillId="0" borderId="0" xfId="8" applyFont="1"/>
    <xf numFmtId="171" fontId="62" fillId="39" borderId="14" xfId="297" applyFont="1" applyFill="1" applyBorder="1" applyAlignment="1">
      <alignment horizontal="center"/>
    </xf>
    <xf numFmtId="9" fontId="62" fillId="39" borderId="13" xfId="296" applyFont="1" applyFill="1" applyBorder="1" applyAlignment="1">
      <alignment horizontal="left"/>
    </xf>
    <xf numFmtId="0" fontId="62" fillId="39" borderId="13" xfId="294" applyFont="1" applyFill="1" applyBorder="1" applyAlignment="1">
      <alignment horizontal="left"/>
    </xf>
    <xf numFmtId="205" fontId="0" fillId="0" borderId="0" xfId="0" applyNumberFormat="1"/>
    <xf numFmtId="174" fontId="14" fillId="0" borderId="0" xfId="294" applyNumberFormat="1" applyFont="1"/>
    <xf numFmtId="44" fontId="58" fillId="38" borderId="0" xfId="294" applyNumberFormat="1" applyFont="1" applyFill="1"/>
    <xf numFmtId="171" fontId="59" fillId="0" borderId="7" xfId="297" applyFont="1" applyFill="1" applyBorder="1" applyAlignment="1">
      <alignment horizontal="center"/>
    </xf>
    <xf numFmtId="10" fontId="59" fillId="0" borderId="7" xfId="296" applyNumberFormat="1" applyFont="1" applyFill="1" applyBorder="1" applyAlignment="1">
      <alignment horizontal="center"/>
    </xf>
    <xf numFmtId="174" fontId="14" fillId="0" borderId="0" xfId="8" applyNumberFormat="1" applyFont="1"/>
    <xf numFmtId="171" fontId="59" fillId="0" borderId="7" xfId="8" applyNumberFormat="1" applyFont="1" applyFill="1" applyBorder="1" applyAlignment="1">
      <alignment horizontal="center"/>
    </xf>
    <xf numFmtId="10" fontId="59" fillId="2" borderId="7" xfId="294" applyNumberFormat="1" applyFont="1" applyFill="1" applyBorder="1" applyAlignment="1">
      <alignment horizontal="center"/>
    </xf>
    <xf numFmtId="0" fontId="62" fillId="2" borderId="51" xfId="298" applyNumberFormat="1" applyFont="1" applyFill="1" applyBorder="1" applyAlignment="1">
      <alignment vertical="center" wrapText="1"/>
    </xf>
    <xf numFmtId="0" fontId="62" fillId="2" borderId="0" xfId="294" applyFont="1" applyFill="1" applyAlignment="1">
      <alignment horizontal="right"/>
    </xf>
    <xf numFmtId="0" fontId="59" fillId="2" borderId="5" xfId="294" applyFont="1" applyFill="1" applyBorder="1" applyAlignment="1">
      <alignment horizontal="center"/>
    </xf>
    <xf numFmtId="44" fontId="56" fillId="0" borderId="0" xfId="294" applyNumberFormat="1" applyFont="1"/>
    <xf numFmtId="207" fontId="23" fillId="38" borderId="0" xfId="294" applyNumberFormat="1" applyFont="1" applyFill="1"/>
    <xf numFmtId="208" fontId="58" fillId="38" borderId="0" xfId="294" applyNumberFormat="1" applyFont="1" applyFill="1"/>
    <xf numFmtId="44" fontId="0" fillId="0" borderId="0" xfId="0" applyNumberFormat="1"/>
    <xf numFmtId="42" fontId="14" fillId="0" borderId="0" xfId="294" applyNumberFormat="1" applyFont="1"/>
    <xf numFmtId="43" fontId="23" fillId="38" borderId="0" xfId="294" applyNumberFormat="1" applyFont="1" applyFill="1"/>
    <xf numFmtId="171" fontId="59" fillId="0" borderId="7" xfId="297" applyFont="1" applyBorder="1" applyAlignment="1">
      <alignment horizontal="center"/>
    </xf>
    <xf numFmtId="10" fontId="59" fillId="0" borderId="7" xfId="296" applyNumberFormat="1" applyFont="1" applyBorder="1" applyAlignment="1">
      <alignment horizontal="center"/>
    </xf>
    <xf numFmtId="0" fontId="62" fillId="0" borderId="0" xfId="294" applyFont="1" applyAlignment="1">
      <alignment horizontal="center"/>
    </xf>
    <xf numFmtId="10" fontId="59" fillId="0" borderId="0" xfId="296" applyNumberFormat="1" applyFont="1" applyBorder="1" applyAlignment="1">
      <alignment horizontal="center"/>
    </xf>
    <xf numFmtId="44" fontId="59" fillId="0" borderId="0" xfId="22" applyFont="1" applyAlignment="1">
      <alignment horizontal="left"/>
    </xf>
    <xf numFmtId="0" fontId="59" fillId="0" borderId="0" xfId="294" applyFont="1" applyAlignment="1">
      <alignment horizontal="left"/>
    </xf>
    <xf numFmtId="0" fontId="59" fillId="0" borderId="0" xfId="294" applyFont="1" applyAlignment="1">
      <alignment horizontal="center"/>
    </xf>
    <xf numFmtId="167" fontId="0" fillId="0" borderId="0" xfId="0" applyNumberFormat="1"/>
    <xf numFmtId="209" fontId="14" fillId="0" borderId="0" xfId="9" applyNumberFormat="1" applyFont="1"/>
    <xf numFmtId="43" fontId="58" fillId="38" borderId="0" xfId="1" applyFont="1" applyFill="1"/>
    <xf numFmtId="10" fontId="62" fillId="39" borderId="13" xfId="296" applyNumberFormat="1" applyFont="1" applyFill="1" applyBorder="1" applyAlignment="1">
      <alignment horizontal="center"/>
    </xf>
    <xf numFmtId="9" fontId="59" fillId="0" borderId="0" xfId="296" applyFont="1" applyBorder="1" applyAlignment="1">
      <alignment horizontal="center"/>
    </xf>
    <xf numFmtId="10" fontId="14" fillId="0" borderId="0" xfId="294" applyNumberFormat="1" applyFont="1"/>
    <xf numFmtId="2" fontId="59" fillId="0" borderId="0" xfId="294" applyNumberFormat="1" applyFont="1" applyAlignment="1">
      <alignment horizontal="left"/>
    </xf>
    <xf numFmtId="210" fontId="0" fillId="0" borderId="0" xfId="0" applyNumberFormat="1"/>
    <xf numFmtId="42" fontId="0" fillId="0" borderId="0" xfId="0" applyNumberFormat="1"/>
    <xf numFmtId="211" fontId="23" fillId="38" borderId="0" xfId="1" applyNumberFormat="1" applyFont="1" applyFill="1"/>
    <xf numFmtId="42" fontId="59" fillId="0" borderId="0" xfId="8" applyFont="1" applyBorder="1" applyAlignment="1">
      <alignment horizontal="left"/>
    </xf>
    <xf numFmtId="4" fontId="59" fillId="0" borderId="0" xfId="294" applyNumberFormat="1" applyFont="1" applyAlignment="1">
      <alignment horizontal="center" vertical="center"/>
    </xf>
    <xf numFmtId="0" fontId="59" fillId="0" borderId="0" xfId="294" applyFont="1" applyAlignment="1">
      <alignment horizontal="center" vertical="center"/>
    </xf>
    <xf numFmtId="211" fontId="23" fillId="38" borderId="0" xfId="294" applyNumberFormat="1" applyFont="1" applyFill="1"/>
    <xf numFmtId="0" fontId="62" fillId="39" borderId="52" xfId="294" applyFont="1" applyFill="1" applyBorder="1" applyAlignment="1">
      <alignment horizontal="center"/>
    </xf>
    <xf numFmtId="9" fontId="62" fillId="39" borderId="52" xfId="296" applyFont="1" applyFill="1" applyBorder="1" applyAlignment="1">
      <alignment horizontal="center" vertical="center"/>
    </xf>
    <xf numFmtId="0" fontId="62" fillId="39" borderId="52" xfId="294" applyFont="1" applyFill="1" applyBorder="1" applyAlignment="1">
      <alignment horizontal="center" vertical="center"/>
    </xf>
    <xf numFmtId="0" fontId="62" fillId="39" borderId="52" xfId="294" applyFont="1" applyFill="1" applyBorder="1" applyAlignment="1">
      <alignment horizontal="center" vertical="center" wrapText="1"/>
    </xf>
    <xf numFmtId="0" fontId="62" fillId="39" borderId="13" xfId="294" applyFont="1" applyFill="1" applyBorder="1" applyAlignment="1">
      <alignment horizontal="left" wrapText="1"/>
    </xf>
    <xf numFmtId="212" fontId="14" fillId="0" borderId="0" xfId="294" applyNumberFormat="1" applyFont="1"/>
    <xf numFmtId="213" fontId="23" fillId="0" borderId="0" xfId="294" applyNumberFormat="1" applyFont="1"/>
    <xf numFmtId="183" fontId="23" fillId="38" borderId="0" xfId="1" applyNumberFormat="1" applyFont="1" applyFill="1"/>
    <xf numFmtId="171" fontId="14" fillId="0" borderId="0" xfId="295" applyFont="1"/>
    <xf numFmtId="42" fontId="62" fillId="4" borderId="4" xfId="8" applyFont="1" applyFill="1" applyBorder="1" applyAlignment="1">
      <alignment horizontal="center" vertical="center" wrapText="1"/>
    </xf>
    <xf numFmtId="0" fontId="62" fillId="4" borderId="52" xfId="294" applyFont="1" applyFill="1" applyBorder="1" applyAlignment="1">
      <alignment horizontal="center" vertical="center" wrapText="1"/>
    </xf>
    <xf numFmtId="0" fontId="62" fillId="40" borderId="53" xfId="294" applyFont="1" applyFill="1" applyBorder="1" applyAlignment="1">
      <alignment horizontal="center" vertical="center"/>
    </xf>
    <xf numFmtId="0" fontId="62" fillId="40" borderId="54" xfId="294" applyFont="1" applyFill="1" applyBorder="1" applyAlignment="1">
      <alignment horizontal="center" vertical="center"/>
    </xf>
    <xf numFmtId="0" fontId="59" fillId="0" borderId="7" xfId="294" applyFont="1" applyBorder="1" applyAlignment="1">
      <alignment horizontal="center"/>
    </xf>
    <xf numFmtId="0" fontId="14" fillId="0" borderId="0" xfId="294" applyFont="1" applyAlignment="1">
      <alignment wrapText="1"/>
    </xf>
    <xf numFmtId="0" fontId="23" fillId="0" borderId="0" xfId="294" applyFont="1" applyAlignment="1">
      <alignment wrapText="1"/>
    </xf>
    <xf numFmtId="0" fontId="23" fillId="38" borderId="0" xfId="294" applyFont="1" applyFill="1" applyAlignment="1">
      <alignment wrapText="1"/>
    </xf>
    <xf numFmtId="2" fontId="23" fillId="38" borderId="0" xfId="294" applyNumberFormat="1" applyFont="1" applyFill="1" applyAlignment="1">
      <alignment horizontal="center" wrapText="1"/>
    </xf>
    <xf numFmtId="0" fontId="58" fillId="38" borderId="0" xfId="294" applyFont="1" applyFill="1" applyAlignment="1">
      <alignment wrapText="1"/>
    </xf>
    <xf numFmtId="0" fontId="63" fillId="2" borderId="11" xfId="0" applyFont="1" applyFill="1" applyBorder="1" applyAlignment="1">
      <alignment vertical="center" wrapText="1"/>
    </xf>
    <xf numFmtId="0" fontId="63" fillId="2" borderId="10" xfId="0" applyFont="1" applyFill="1" applyBorder="1" applyAlignment="1">
      <alignment vertical="center" wrapText="1"/>
    </xf>
    <xf numFmtId="0" fontId="63" fillId="2" borderId="8" xfId="0" applyFont="1" applyFill="1" applyBorder="1" applyAlignment="1">
      <alignment vertical="center" wrapText="1"/>
    </xf>
    <xf numFmtId="0" fontId="63" fillId="38" borderId="0" xfId="0" applyFont="1" applyFill="1" applyAlignment="1">
      <alignment wrapText="1"/>
    </xf>
    <xf numFmtId="0" fontId="63" fillId="2" borderId="7" xfId="0" applyFont="1" applyFill="1" applyBorder="1" applyAlignment="1">
      <alignment vertical="center" wrapText="1"/>
    </xf>
    <xf numFmtId="0" fontId="63" fillId="2" borderId="5" xfId="0" applyFont="1" applyFill="1" applyBorder="1" applyAlignment="1">
      <alignment vertical="center" wrapText="1"/>
    </xf>
    <xf numFmtId="43" fontId="11" fillId="38" borderId="0" xfId="299" applyFont="1" applyFill="1" applyBorder="1" applyAlignment="1">
      <alignment vertical="center"/>
    </xf>
    <xf numFmtId="0" fontId="23" fillId="0" borderId="0" xfId="0" applyFont="1" applyAlignment="1">
      <alignment horizontal="center" vertical="center"/>
    </xf>
    <xf numFmtId="43" fontId="23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64" fillId="0" borderId="0" xfId="300" applyFill="1" applyBorder="1" applyAlignment="1">
      <alignment horizontal="center"/>
    </xf>
    <xf numFmtId="0" fontId="3" fillId="0" borderId="0" xfId="2" applyFont="1" applyAlignment="1">
      <alignment horizontal="justify" vertical="justify"/>
    </xf>
    <xf numFmtId="0" fontId="3" fillId="0" borderId="0" xfId="2" applyFont="1" applyAlignment="1">
      <alignment horizontal="center" vertical="center"/>
    </xf>
    <xf numFmtId="0" fontId="3" fillId="0" borderId="0" xfId="2" applyFont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12" fontId="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64" fillId="0" borderId="0" xfId="300" applyBorder="1" applyAlignment="1">
      <alignment horizontal="center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3" borderId="1" xfId="2" applyFont="1" applyFill="1" applyBorder="1" applyAlignment="1" applyProtection="1">
      <alignment horizontal="center" vertical="center"/>
      <protection hidden="1"/>
    </xf>
    <xf numFmtId="2" fontId="10" fillId="3" borderId="1" xfId="2" applyNumberFormat="1" applyFont="1" applyFill="1" applyBorder="1" applyAlignment="1" applyProtection="1">
      <alignment horizontal="center" vertical="center"/>
      <protection hidden="1"/>
    </xf>
    <xf numFmtId="165" fontId="10" fillId="3" borderId="1" xfId="4" applyNumberFormat="1" applyFont="1" applyFill="1" applyBorder="1" applyAlignment="1" applyProtection="1">
      <alignment horizontal="center" vertical="center" wrapText="1"/>
      <protection hidden="1"/>
    </xf>
    <xf numFmtId="0" fontId="10" fillId="4" borderId="1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top"/>
    </xf>
    <xf numFmtId="0" fontId="10" fillId="4" borderId="1" xfId="2" applyFont="1" applyFill="1" applyBorder="1" applyAlignment="1">
      <alignment vertical="center"/>
    </xf>
    <xf numFmtId="2" fontId="10" fillId="4" borderId="1" xfId="2" applyNumberFormat="1" applyFont="1" applyFill="1" applyBorder="1" applyAlignment="1">
      <alignment horizontal="center" vertical="top"/>
    </xf>
    <xf numFmtId="0" fontId="10" fillId="4" borderId="1" xfId="2" applyFont="1" applyFill="1" applyBorder="1" applyAlignment="1">
      <alignment vertical="top"/>
    </xf>
    <xf numFmtId="0" fontId="14" fillId="2" borderId="1" xfId="2" applyFont="1" applyFill="1" applyBorder="1" applyAlignment="1">
      <alignment horizontal="center" vertical="center"/>
    </xf>
    <xf numFmtId="0" fontId="14" fillId="2" borderId="1" xfId="2" applyFont="1" applyFill="1" applyBorder="1" applyAlignment="1">
      <alignment horizontal="justify" vertical="justify" wrapText="1"/>
    </xf>
    <xf numFmtId="0" fontId="14" fillId="2" borderId="1" xfId="2" applyFont="1" applyFill="1" applyBorder="1" applyAlignment="1">
      <alignment horizontal="center" vertical="justify" wrapText="1"/>
    </xf>
    <xf numFmtId="2" fontId="14" fillId="0" borderId="1" xfId="2" applyNumberFormat="1" applyFont="1" applyBorder="1" applyAlignment="1">
      <alignment horizontal="center" vertical="top"/>
    </xf>
    <xf numFmtId="167" fontId="14" fillId="0" borderId="1" xfId="2" applyNumberFormat="1" applyFont="1" applyBorder="1" applyAlignment="1">
      <alignment vertical="top"/>
    </xf>
    <xf numFmtId="0" fontId="1" fillId="10" borderId="1" xfId="0" applyFont="1" applyFill="1" applyBorder="1" applyAlignment="1">
      <alignment horizontal="center"/>
    </xf>
    <xf numFmtId="0" fontId="10" fillId="3" borderId="55" xfId="0" applyFont="1" applyFill="1" applyBorder="1" applyAlignment="1">
      <alignment horizontal="center"/>
    </xf>
    <xf numFmtId="0" fontId="1" fillId="10" borderId="1" xfId="0" applyFont="1" applyFill="1" applyBorder="1"/>
    <xf numFmtId="0" fontId="1" fillId="0" borderId="1" xfId="0" applyFont="1" applyBorder="1" applyAlignment="1">
      <alignment horizontal="center"/>
    </xf>
    <xf numFmtId="0" fontId="14" fillId="2" borderId="1" xfId="2" applyFont="1" applyFill="1" applyBorder="1" applyAlignment="1">
      <alignment horizontal="justify" vertical="justify"/>
    </xf>
    <xf numFmtId="167" fontId="14" fillId="2" borderId="1" xfId="2" applyNumberFormat="1" applyFont="1" applyFill="1" applyBorder="1" applyAlignment="1">
      <alignment horizontal="right" vertical="center"/>
    </xf>
    <xf numFmtId="0" fontId="10" fillId="10" borderId="1" xfId="2" applyFont="1" applyFill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top"/>
    </xf>
    <xf numFmtId="0" fontId="10" fillId="10" borderId="1" xfId="2" applyFont="1" applyFill="1" applyBorder="1" applyAlignment="1">
      <alignment vertical="center"/>
    </xf>
    <xf numFmtId="2" fontId="10" fillId="10" borderId="1" xfId="2" applyNumberFormat="1" applyFont="1" applyFill="1" applyBorder="1" applyAlignment="1">
      <alignment horizontal="center" vertical="top"/>
    </xf>
    <xf numFmtId="0" fontId="10" fillId="10" borderId="1" xfId="2" applyFont="1" applyFill="1" applyBorder="1" applyAlignment="1">
      <alignment vertical="top"/>
    </xf>
    <xf numFmtId="0" fontId="0" fillId="0" borderId="0" xfId="0" applyAlignment="1">
      <alignment horizontal="left" wrapText="1"/>
    </xf>
    <xf numFmtId="0" fontId="3" fillId="0" borderId="0" xfId="2" applyFont="1" applyAlignment="1" applyProtection="1">
      <alignment horizontal="justify" vertical="justify"/>
      <protection hidden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19" fillId="0" borderId="17" xfId="10" applyFont="1" applyBorder="1" applyAlignment="1">
      <alignment horizontal="left"/>
    </xf>
    <xf numFmtId="0" fontId="19" fillId="0" borderId="18" xfId="10" applyFont="1" applyBorder="1" applyAlignment="1">
      <alignment horizontal="left"/>
    </xf>
    <xf numFmtId="0" fontId="19" fillId="0" borderId="16" xfId="1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167" fontId="14" fillId="2" borderId="1" xfId="22" applyNumberFormat="1" applyFont="1" applyFill="1" applyBorder="1" applyAlignment="1">
      <alignment horizontal="right" vertical="justify" wrapText="1"/>
    </xf>
    <xf numFmtId="0" fontId="64" fillId="0" borderId="0" xfId="300" applyAlignment="1">
      <alignment horizontal="center"/>
    </xf>
    <xf numFmtId="167" fontId="3" fillId="0" borderId="0" xfId="0" applyNumberFormat="1" applyFont="1" applyAlignment="1">
      <alignment horizontal="right" wrapText="1"/>
    </xf>
    <xf numFmtId="167" fontId="0" fillId="0" borderId="0" xfId="22" applyNumberFormat="1" applyFont="1" applyFill="1" applyBorder="1" applyAlignment="1">
      <alignment horizontal="right"/>
    </xf>
    <xf numFmtId="167" fontId="3" fillId="0" borderId="0" xfId="22" applyNumberFormat="1" applyFont="1" applyFill="1" applyBorder="1" applyAlignment="1">
      <alignment horizontal="right"/>
    </xf>
    <xf numFmtId="167" fontId="3" fillId="0" borderId="0" xfId="0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 vertical="center"/>
    </xf>
    <xf numFmtId="167" fontId="3" fillId="0" borderId="0" xfId="0" applyNumberFormat="1" applyFont="1" applyAlignment="1">
      <alignment horizontal="right" vertical="center"/>
    </xf>
    <xf numFmtId="167" fontId="10" fillId="4" borderId="1" xfId="2" applyNumberFormat="1" applyFont="1" applyFill="1" applyBorder="1" applyAlignment="1">
      <alignment vertical="top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3" fontId="23" fillId="13" borderId="17" xfId="1" applyFont="1" applyFill="1" applyBorder="1" applyAlignment="1">
      <alignment horizontal="center" vertical="center" wrapText="1"/>
    </xf>
    <xf numFmtId="43" fontId="0" fillId="0" borderId="17" xfId="1" applyFont="1" applyBorder="1" applyAlignment="1">
      <alignment horizontal="center"/>
    </xf>
    <xf numFmtId="43" fontId="0" fillId="0" borderId="17" xfId="1" applyFont="1" applyBorder="1" applyAlignment="1">
      <alignment horizontal="center" vertical="center"/>
    </xf>
    <xf numFmtId="43" fontId="3" fillId="0" borderId="17" xfId="1" applyFont="1" applyBorder="1"/>
    <xf numFmtId="0" fontId="23" fillId="13" borderId="20" xfId="0" applyFont="1" applyFill="1" applyBorder="1" applyAlignment="1">
      <alignment horizontal="center"/>
    </xf>
    <xf numFmtId="43" fontId="23" fillId="13" borderId="20" xfId="1" applyFont="1" applyFill="1" applyBorder="1" applyAlignment="1">
      <alignment horizontal="center" vertical="center" wrapText="1"/>
    </xf>
    <xf numFmtId="43" fontId="23" fillId="13" borderId="23" xfId="1" applyFont="1" applyFill="1" applyBorder="1" applyAlignment="1">
      <alignment horizontal="center" vertical="center" wrapText="1"/>
    </xf>
    <xf numFmtId="43" fontId="3" fillId="0" borderId="27" xfId="1" applyFont="1" applyBorder="1"/>
    <xf numFmtId="0" fontId="3" fillId="2" borderId="1" xfId="2" applyFont="1" applyFill="1" applyBorder="1" applyAlignment="1">
      <alignment horizontal="center"/>
    </xf>
    <xf numFmtId="43" fontId="3" fillId="0" borderId="1" xfId="1" applyFont="1" applyBorder="1" applyAlignment="1">
      <alignment horizontal="center" vertical="center"/>
    </xf>
    <xf numFmtId="175" fontId="0" fillId="0" borderId="1" xfId="1" applyNumberFormat="1" applyFont="1" applyBorder="1" applyAlignment="1">
      <alignment horizontal="center" vertical="center"/>
    </xf>
    <xf numFmtId="0" fontId="16" fillId="0" borderId="17" xfId="10" applyFont="1" applyBorder="1" applyAlignment="1">
      <alignment horizontal="center"/>
    </xf>
    <xf numFmtId="0" fontId="16" fillId="0" borderId="18" xfId="10" applyFont="1" applyBorder="1" applyAlignment="1">
      <alignment horizontal="center"/>
    </xf>
    <xf numFmtId="0" fontId="0" fillId="13" borderId="0" xfId="0" applyFill="1" applyAlignment="1">
      <alignment horizontal="center"/>
    </xf>
    <xf numFmtId="0" fontId="0" fillId="0" borderId="1" xfId="0" applyBorder="1" applyAlignment="1">
      <alignment horizontal="left" wrapText="1"/>
    </xf>
    <xf numFmtId="0" fontId="0" fillId="41" borderId="0" xfId="0" applyFill="1" applyAlignment="1">
      <alignment horizontal="center"/>
    </xf>
    <xf numFmtId="0" fontId="4" fillId="41" borderId="1" xfId="0" applyFont="1" applyFill="1" applyBorder="1" applyAlignment="1">
      <alignment wrapText="1"/>
    </xf>
    <xf numFmtId="0" fontId="3" fillId="41" borderId="1" xfId="2" applyFont="1" applyFill="1" applyBorder="1" applyAlignment="1">
      <alignment horizontal="center" vertical="justify"/>
    </xf>
    <xf numFmtId="0" fontId="0" fillId="41" borderId="1" xfId="0" applyFill="1" applyBorder="1" applyAlignment="1">
      <alignment horizontal="center" vertical="center"/>
    </xf>
    <xf numFmtId="43" fontId="0" fillId="41" borderId="1" xfId="1" applyFont="1" applyFill="1" applyBorder="1" applyAlignment="1">
      <alignment horizontal="center" vertical="center"/>
    </xf>
    <xf numFmtId="176" fontId="0" fillId="41" borderId="1" xfId="22" applyNumberFormat="1" applyFont="1" applyFill="1" applyBorder="1" applyAlignment="1">
      <alignment horizontal="center" vertical="center"/>
    </xf>
    <xf numFmtId="175" fontId="0" fillId="41" borderId="1" xfId="0" applyNumberFormat="1" applyFill="1" applyBorder="1" applyAlignment="1">
      <alignment horizontal="center" vertical="center"/>
    </xf>
    <xf numFmtId="1" fontId="0" fillId="41" borderId="17" xfId="0" applyNumberFormat="1" applyFill="1" applyBorder="1" applyAlignment="1">
      <alignment horizontal="center" vertical="center"/>
    </xf>
    <xf numFmtId="0" fontId="4" fillId="41" borderId="1" xfId="0" applyFont="1" applyFill="1" applyBorder="1" applyAlignment="1">
      <alignment horizontal="center" wrapText="1"/>
    </xf>
    <xf numFmtId="0" fontId="3" fillId="41" borderId="1" xfId="0" applyFont="1" applyFill="1" applyBorder="1" applyAlignment="1">
      <alignment horizontal="center"/>
    </xf>
    <xf numFmtId="0" fontId="0" fillId="41" borderId="1" xfId="0" applyFill="1" applyBorder="1" applyAlignment="1">
      <alignment horizontal="center"/>
    </xf>
    <xf numFmtId="43" fontId="3" fillId="41" borderId="1" xfId="1" applyFont="1" applyFill="1" applyBorder="1"/>
    <xf numFmtId="43" fontId="3" fillId="41" borderId="17" xfId="1" applyFont="1" applyFill="1" applyBorder="1"/>
    <xf numFmtId="12" fontId="3" fillId="41" borderId="1" xfId="0" applyNumberFormat="1" applyFont="1" applyFill="1" applyBorder="1" applyAlignment="1">
      <alignment horizontal="center"/>
    </xf>
    <xf numFmtId="1" fontId="0" fillId="41" borderId="17" xfId="0" applyNumberFormat="1" applyFill="1" applyBorder="1" applyAlignment="1">
      <alignment horizontal="center"/>
    </xf>
    <xf numFmtId="2" fontId="0" fillId="0" borderId="1" xfId="1" applyNumberFormat="1" applyFont="1" applyBorder="1" applyAlignment="1">
      <alignment horizontal="center" vertical="center"/>
    </xf>
    <xf numFmtId="2" fontId="0" fillId="0" borderId="1" xfId="22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/>
    </xf>
    <xf numFmtId="2" fontId="0" fillId="0" borderId="17" xfId="0" applyNumberFormat="1" applyBorder="1" applyAlignment="1">
      <alignment horizontal="center" vertical="center"/>
    </xf>
    <xf numFmtId="2" fontId="3" fillId="0" borderId="1" xfId="0" applyNumberFormat="1" applyFont="1" applyBorder="1"/>
    <xf numFmtId="2" fontId="3" fillId="0" borderId="17" xfId="0" applyNumberFormat="1" applyFont="1" applyBorder="1"/>
    <xf numFmtId="167" fontId="10" fillId="10" borderId="1" xfId="2" applyNumberFormat="1" applyFont="1" applyFill="1" applyBorder="1" applyAlignment="1">
      <alignment horizontal="right" vertical="center"/>
    </xf>
    <xf numFmtId="167" fontId="10" fillId="10" borderId="1" xfId="2" applyNumberFormat="1" applyFont="1" applyFill="1" applyBorder="1" applyAlignment="1">
      <alignment vertical="top"/>
    </xf>
    <xf numFmtId="2" fontId="3" fillId="0" borderId="1" xfId="22" applyNumberFormat="1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/>
    </xf>
    <xf numFmtId="2" fontId="3" fillId="0" borderId="1" xfId="1" applyNumberFormat="1" applyFont="1" applyBorder="1"/>
    <xf numFmtId="0" fontId="0" fillId="41" borderId="1" xfId="0" applyFill="1" applyBorder="1" applyAlignment="1">
      <alignment horizontal="center" wrapText="1"/>
    </xf>
    <xf numFmtId="2" fontId="0" fillId="41" borderId="1" xfId="1" applyNumberFormat="1" applyFont="1" applyFill="1" applyBorder="1" applyAlignment="1">
      <alignment horizontal="center" vertical="center"/>
    </xf>
    <xf numFmtId="2" fontId="0" fillId="41" borderId="1" xfId="22" applyNumberFormat="1" applyFont="1" applyFill="1" applyBorder="1" applyAlignment="1">
      <alignment horizontal="center" vertical="center"/>
    </xf>
    <xf numFmtId="2" fontId="3" fillId="41" borderId="1" xfId="0" applyNumberFormat="1" applyFont="1" applyFill="1" applyBorder="1"/>
    <xf numFmtId="2" fontId="0" fillId="41" borderId="1" xfId="0" applyNumberFormat="1" applyFill="1" applyBorder="1" applyAlignment="1">
      <alignment horizontal="center" vertical="center"/>
    </xf>
    <xf numFmtId="2" fontId="3" fillId="41" borderId="17" xfId="0" applyNumberFormat="1" applyFont="1" applyFill="1" applyBorder="1"/>
    <xf numFmtId="0" fontId="3" fillId="0" borderId="0" xfId="2" applyFont="1" applyAlignment="1">
      <alignment horizontal="justify" vertical="justify" wrapText="1"/>
    </xf>
    <xf numFmtId="0" fontId="3" fillId="0" borderId="0" xfId="2" applyFont="1" applyAlignment="1" applyProtection="1">
      <alignment horizontal="center" vertical="center" wrapText="1"/>
      <protection hidden="1"/>
    </xf>
    <xf numFmtId="0" fontId="4" fillId="10" borderId="1" xfId="0" applyFont="1" applyFill="1" applyBorder="1" applyAlignment="1">
      <alignment wrapText="1"/>
    </xf>
    <xf numFmtId="0" fontId="3" fillId="10" borderId="1" xfId="0" applyFont="1" applyFill="1" applyBorder="1" applyAlignment="1">
      <alignment horizontal="center"/>
    </xf>
    <xf numFmtId="2" fontId="3" fillId="10" borderId="1" xfId="1" applyNumberFormat="1" applyFont="1" applyFill="1" applyBorder="1"/>
    <xf numFmtId="2" fontId="0" fillId="10" borderId="1" xfId="22" applyNumberFormat="1" applyFont="1" applyFill="1" applyBorder="1" applyAlignment="1">
      <alignment horizontal="center" vertical="center"/>
    </xf>
    <xf numFmtId="2" fontId="3" fillId="10" borderId="1" xfId="0" applyNumberFormat="1" applyFont="1" applyFill="1" applyBorder="1"/>
    <xf numFmtId="175" fontId="0" fillId="10" borderId="1" xfId="0" applyNumberFormat="1" applyFill="1" applyBorder="1" applyAlignment="1">
      <alignment horizontal="center" vertical="center"/>
    </xf>
    <xf numFmtId="0" fontId="3" fillId="10" borderId="17" xfId="0" applyFont="1" applyFill="1" applyBorder="1"/>
    <xf numFmtId="12" fontId="0" fillId="0" borderId="0" xfId="1" applyNumberFormat="1" applyFont="1"/>
    <xf numFmtId="2" fontId="3" fillId="0" borderId="1" xfId="1" applyNumberFormat="1" applyFont="1" applyBorder="1" applyAlignment="1">
      <alignment horizontal="center"/>
    </xf>
    <xf numFmtId="0" fontId="3" fillId="0" borderId="16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13" fontId="16" fillId="0" borderId="1" xfId="1" applyNumberFormat="1" applyFont="1" applyBorder="1" applyAlignment="1">
      <alignment horizontal="center"/>
    </xf>
    <xf numFmtId="2" fontId="3" fillId="0" borderId="17" xfId="1" applyNumberFormat="1" applyFont="1" applyBorder="1"/>
    <xf numFmtId="0" fontId="23" fillId="13" borderId="24" xfId="0" applyFont="1" applyFill="1" applyBorder="1" applyAlignment="1">
      <alignment horizontal="center"/>
    </xf>
    <xf numFmtId="2" fontId="0" fillId="0" borderId="17" xfId="1" applyNumberFormat="1" applyFont="1" applyBorder="1" applyAlignment="1">
      <alignment horizontal="right" vertical="center"/>
    </xf>
    <xf numFmtId="2" fontId="3" fillId="0" borderId="17" xfId="1" applyNumberFormat="1" applyFont="1" applyBorder="1" applyAlignment="1">
      <alignment horizontal="right"/>
    </xf>
    <xf numFmtId="2" fontId="0" fillId="0" borderId="17" xfId="22" applyNumberFormat="1" applyFont="1" applyBorder="1" applyAlignment="1">
      <alignment horizontal="center" vertical="center"/>
    </xf>
    <xf numFmtId="174" fontId="0" fillId="0" borderId="1" xfId="8" applyNumberFormat="1" applyFont="1" applyBorder="1" applyAlignment="1">
      <alignment horizontal="center"/>
    </xf>
    <xf numFmtId="0" fontId="0" fillId="0" borderId="1" xfId="8" applyNumberFormat="1" applyFon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0" fontId="14" fillId="2" borderId="0" xfId="2" applyFont="1" applyFill="1" applyAlignment="1">
      <alignment horizontal="justify" vertical="justify"/>
    </xf>
    <xf numFmtId="0" fontId="16" fillId="0" borderId="1" xfId="1" applyNumberFormat="1" applyFont="1" applyBorder="1" applyAlignment="1">
      <alignment horizontal="right"/>
    </xf>
    <xf numFmtId="43" fontId="16" fillId="0" borderId="1" xfId="1" applyFont="1" applyBorder="1" applyAlignment="1">
      <alignment horizontal="right"/>
    </xf>
    <xf numFmtId="2" fontId="16" fillId="0" borderId="1" xfId="8" applyNumberFormat="1" applyFont="1" applyBorder="1" applyAlignment="1">
      <alignment horizontal="center"/>
    </xf>
    <xf numFmtId="167" fontId="10" fillId="5" borderId="1" xfId="2" applyNumberFormat="1" applyFont="1" applyFill="1" applyBorder="1" applyAlignment="1">
      <alignment vertical="top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4" fillId="0" borderId="0" xfId="0" applyFont="1"/>
    <xf numFmtId="0" fontId="11" fillId="2" borderId="1" xfId="0" applyFont="1" applyFill="1" applyBorder="1" applyAlignment="1">
      <alignment horizontal="center" wrapText="1"/>
    </xf>
    <xf numFmtId="167" fontId="10" fillId="3" borderId="1" xfId="22" applyNumberFormat="1" applyFont="1" applyFill="1" applyBorder="1" applyAlignment="1" applyProtection="1">
      <alignment horizontal="center" vertical="center" wrapText="1"/>
      <protection hidden="1"/>
    </xf>
    <xf numFmtId="167" fontId="10" fillId="3" borderId="1" xfId="22" applyNumberFormat="1" applyFont="1" applyFill="1" applyBorder="1" applyAlignment="1" applyProtection="1">
      <alignment horizontal="right" vertical="center" wrapText="1"/>
      <protection hidden="1"/>
    </xf>
    <xf numFmtId="172" fontId="0" fillId="0" borderId="0" xfId="0" applyNumberForma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10" fillId="2" borderId="17" xfId="2" applyFont="1" applyFill="1" applyBorder="1" applyAlignment="1" applyProtection="1">
      <alignment horizontal="center" vertical="center" wrapText="1"/>
      <protection locked="0"/>
    </xf>
    <xf numFmtId="0" fontId="10" fillId="2" borderId="18" xfId="2" applyFont="1" applyFill="1" applyBorder="1" applyAlignment="1" applyProtection="1">
      <alignment horizontal="center" vertical="center" wrapText="1"/>
      <protection locked="0"/>
    </xf>
    <xf numFmtId="0" fontId="10" fillId="2" borderId="16" xfId="2" applyFont="1" applyFill="1" applyBorder="1" applyAlignment="1" applyProtection="1">
      <alignment horizontal="center" vertical="center" wrapText="1"/>
      <protection locked="0"/>
    </xf>
    <xf numFmtId="0" fontId="10" fillId="0" borderId="17" xfId="2" applyFont="1" applyBorder="1" applyAlignment="1" applyProtection="1">
      <alignment horizontal="center" vertical="center" wrapText="1"/>
      <protection locked="0"/>
    </xf>
    <xf numFmtId="0" fontId="10" fillId="0" borderId="16" xfId="2" applyFont="1" applyBorder="1" applyAlignment="1" applyProtection="1">
      <alignment horizontal="center" vertical="center" wrapText="1"/>
      <protection locked="0"/>
    </xf>
    <xf numFmtId="0" fontId="3" fillId="0" borderId="38" xfId="278" applyFont="1" applyBorder="1" applyAlignment="1">
      <alignment horizontal="center"/>
    </xf>
    <xf numFmtId="0" fontId="3" fillId="0" borderId="56" xfId="278" applyFont="1" applyBorder="1" applyAlignment="1">
      <alignment horizontal="center"/>
    </xf>
    <xf numFmtId="0" fontId="3" fillId="0" borderId="39" xfId="278" applyFont="1" applyBorder="1" applyAlignment="1">
      <alignment horizontal="center"/>
    </xf>
    <xf numFmtId="0" fontId="6" fillId="11" borderId="17" xfId="20" applyFont="1" applyFill="1" applyBorder="1" applyAlignment="1">
      <alignment horizontal="center" vertical="center" wrapText="1"/>
    </xf>
    <xf numFmtId="0" fontId="6" fillId="11" borderId="18" xfId="20" applyFont="1" applyFill="1" applyBorder="1" applyAlignment="1">
      <alignment horizontal="center" vertical="center" wrapText="1"/>
    </xf>
    <xf numFmtId="0" fontId="6" fillId="11" borderId="16" xfId="20" applyFont="1" applyFill="1" applyBorder="1" applyAlignment="1">
      <alignment horizontal="center" vertical="center" wrapText="1"/>
    </xf>
    <xf numFmtId="0" fontId="4" fillId="0" borderId="17" xfId="2" applyFont="1" applyBorder="1" applyAlignment="1" applyProtection="1">
      <alignment horizontal="center" vertical="center"/>
      <protection hidden="1"/>
    </xf>
    <xf numFmtId="0" fontId="4" fillId="0" borderId="18" xfId="2" applyFont="1" applyBorder="1" applyAlignment="1" applyProtection="1">
      <alignment horizontal="center" vertical="center"/>
      <protection hidden="1"/>
    </xf>
    <xf numFmtId="0" fontId="4" fillId="0" borderId="16" xfId="2" applyFont="1" applyBorder="1" applyAlignment="1" applyProtection="1">
      <alignment horizontal="center" vertical="center"/>
      <protection hidden="1"/>
    </xf>
    <xf numFmtId="0" fontId="6" fillId="0" borderId="0" xfId="3" applyFont="1" applyAlignment="1">
      <alignment horizontal="center"/>
    </xf>
    <xf numFmtId="0" fontId="6" fillId="0" borderId="6" xfId="3" applyFont="1" applyBorder="1" applyAlignment="1">
      <alignment horizontal="center"/>
    </xf>
    <xf numFmtId="0" fontId="22" fillId="0" borderId="29" xfId="3" applyFont="1" applyBorder="1" applyAlignment="1">
      <alignment horizontal="center"/>
    </xf>
    <xf numFmtId="0" fontId="22" fillId="0" borderId="24" xfId="3" applyFont="1" applyBorder="1" applyAlignment="1">
      <alignment horizontal="center"/>
    </xf>
    <xf numFmtId="170" fontId="4" fillId="12" borderId="17" xfId="21" applyFont="1" applyFill="1" applyBorder="1" applyAlignment="1" applyProtection="1">
      <alignment horizontal="center" vertical="center" wrapText="1"/>
      <protection hidden="1"/>
    </xf>
    <xf numFmtId="170" fontId="4" fillId="12" borderId="18" xfId="21" applyFont="1" applyFill="1" applyBorder="1" applyAlignment="1" applyProtection="1">
      <alignment horizontal="center" vertical="center" wrapText="1"/>
      <protection hidden="1"/>
    </xf>
    <xf numFmtId="170" fontId="4" fillId="12" borderId="16" xfId="21" applyFont="1" applyFill="1" applyBorder="1" applyAlignment="1" applyProtection="1">
      <alignment horizontal="center" vertical="center" wrapText="1"/>
      <protection hidden="1"/>
    </xf>
    <xf numFmtId="0" fontId="22" fillId="0" borderId="0" xfId="3" applyFont="1" applyAlignment="1">
      <alignment horizontal="center"/>
    </xf>
    <xf numFmtId="0" fontId="22" fillId="0" borderId="6" xfId="3" applyFont="1" applyBorder="1" applyAlignment="1">
      <alignment horizontal="center"/>
    </xf>
    <xf numFmtId="0" fontId="16" fillId="2" borderId="26" xfId="0" applyFont="1" applyFill="1" applyBorder="1" applyAlignment="1">
      <alignment horizontal="center" wrapText="1"/>
    </xf>
    <xf numFmtId="0" fontId="16" fillId="2" borderId="0" xfId="0" applyFont="1" applyFill="1" applyAlignment="1">
      <alignment horizontal="center" wrapText="1"/>
    </xf>
    <xf numFmtId="0" fontId="16" fillId="2" borderId="0" xfId="0" applyFont="1" applyFill="1" applyAlignment="1">
      <alignment horizontal="center"/>
    </xf>
    <xf numFmtId="0" fontId="16" fillId="2" borderId="6" xfId="0" applyFont="1" applyFill="1" applyBorder="1" applyAlignment="1">
      <alignment horizontal="center"/>
    </xf>
    <xf numFmtId="0" fontId="17" fillId="0" borderId="17" xfId="10" applyFont="1" applyBorder="1" applyAlignment="1">
      <alignment horizontal="center" vertical="center"/>
    </xf>
    <xf numFmtId="0" fontId="17" fillId="0" borderId="18" xfId="10" applyFont="1" applyBorder="1" applyAlignment="1">
      <alignment horizontal="center" vertical="center"/>
    </xf>
    <xf numFmtId="0" fontId="16" fillId="0" borderId="17" xfId="10" applyFont="1" applyBorder="1" applyAlignment="1">
      <alignment horizontal="left"/>
    </xf>
    <xf numFmtId="0" fontId="16" fillId="0" borderId="18" xfId="10" applyFont="1" applyBorder="1" applyAlignment="1">
      <alignment horizontal="left"/>
    </xf>
    <xf numFmtId="0" fontId="17" fillId="0" borderId="1" xfId="10" applyFont="1" applyBorder="1" applyAlignment="1">
      <alignment horizontal="center"/>
    </xf>
    <xf numFmtId="0" fontId="17" fillId="2" borderId="21" xfId="0" applyFont="1" applyFill="1" applyBorder="1" applyAlignment="1">
      <alignment horizontal="center"/>
    </xf>
    <xf numFmtId="0" fontId="17" fillId="2" borderId="28" xfId="0" applyFont="1" applyFill="1" applyBorder="1" applyAlignment="1">
      <alignment horizontal="center"/>
    </xf>
    <xf numFmtId="0" fontId="17" fillId="2" borderId="22" xfId="0" applyFont="1" applyFill="1" applyBorder="1" applyAlignment="1">
      <alignment horizontal="center"/>
    </xf>
    <xf numFmtId="0" fontId="17" fillId="9" borderId="1" xfId="10" applyFont="1" applyFill="1" applyBorder="1" applyAlignment="1">
      <alignment horizontal="center"/>
    </xf>
    <xf numFmtId="0" fontId="17" fillId="9" borderId="20" xfId="10" applyFont="1" applyFill="1" applyBorder="1" applyAlignment="1">
      <alignment horizontal="center"/>
    </xf>
    <xf numFmtId="0" fontId="17" fillId="0" borderId="17" xfId="10" applyFont="1" applyBorder="1" applyAlignment="1">
      <alignment horizontal="center"/>
    </xf>
    <xf numFmtId="0" fontId="17" fillId="0" borderId="18" xfId="10" applyFont="1" applyBorder="1" applyAlignment="1">
      <alignment horizontal="center"/>
    </xf>
    <xf numFmtId="0" fontId="16" fillId="0" borderId="1" xfId="10" applyFont="1" applyBorder="1" applyAlignment="1">
      <alignment horizontal="center"/>
    </xf>
    <xf numFmtId="0" fontId="17" fillId="9" borderId="17" xfId="10" applyFont="1" applyFill="1" applyBorder="1" applyAlignment="1">
      <alignment horizontal="center"/>
    </xf>
    <xf numFmtId="0" fontId="17" fillId="9" borderId="18" xfId="10" applyFont="1" applyFill="1" applyBorder="1" applyAlignment="1">
      <alignment horizontal="center"/>
    </xf>
    <xf numFmtId="0" fontId="17" fillId="9" borderId="16" xfId="10" applyFont="1" applyFill="1" applyBorder="1" applyAlignment="1">
      <alignment horizontal="center"/>
    </xf>
    <xf numFmtId="0" fontId="16" fillId="0" borderId="1" xfId="10" applyFont="1" applyBorder="1" applyAlignment="1">
      <alignment horizontal="left" wrapText="1"/>
    </xf>
    <xf numFmtId="0" fontId="16" fillId="0" borderId="1" xfId="10" applyFont="1" applyBorder="1" applyAlignment="1">
      <alignment horizontal="left"/>
    </xf>
    <xf numFmtId="0" fontId="19" fillId="0" borderId="17" xfId="10" applyFont="1" applyBorder="1" applyAlignment="1">
      <alignment horizontal="left"/>
    </xf>
    <xf numFmtId="0" fontId="19" fillId="0" borderId="18" xfId="10" applyFont="1" applyBorder="1" applyAlignment="1">
      <alignment horizontal="left"/>
    </xf>
    <xf numFmtId="0" fontId="19" fillId="0" borderId="16" xfId="10" applyFont="1" applyBorder="1" applyAlignment="1">
      <alignment horizontal="left"/>
    </xf>
    <xf numFmtId="0" fontId="17" fillId="0" borderId="1" xfId="10" applyFont="1" applyBorder="1" applyAlignment="1">
      <alignment horizontal="center" vertical="center"/>
    </xf>
    <xf numFmtId="0" fontId="18" fillId="0" borderId="1" xfId="10" applyFont="1" applyBorder="1" applyAlignment="1">
      <alignment horizontal="center" vertical="center" wrapText="1"/>
    </xf>
    <xf numFmtId="0" fontId="19" fillId="0" borderId="17" xfId="10" applyFont="1" applyBorder="1" applyAlignment="1">
      <alignment horizontal="left" wrapText="1"/>
    </xf>
    <xf numFmtId="0" fontId="19" fillId="0" borderId="18" xfId="10" applyFont="1" applyBorder="1" applyAlignment="1">
      <alignment horizontal="left" wrapText="1"/>
    </xf>
    <xf numFmtId="0" fontId="19" fillId="0" borderId="16" xfId="10" applyFont="1" applyBorder="1" applyAlignment="1">
      <alignment horizontal="left" wrapText="1"/>
    </xf>
    <xf numFmtId="0" fontId="2" fillId="5" borderId="25" xfId="10" applyFont="1" applyFill="1" applyBorder="1" applyAlignment="1">
      <alignment horizontal="center"/>
    </xf>
    <xf numFmtId="0" fontId="0" fillId="2" borderId="26" xfId="10" applyFont="1" applyFill="1" applyBorder="1" applyAlignment="1">
      <alignment horizontal="center"/>
    </xf>
    <xf numFmtId="0" fontId="1" fillId="2" borderId="0" xfId="10" applyFont="1" applyFill="1" applyAlignment="1">
      <alignment horizontal="center"/>
    </xf>
    <xf numFmtId="0" fontId="1" fillId="2" borderId="6" xfId="10" applyFont="1" applyFill="1" applyBorder="1" applyAlignment="1">
      <alignment horizontal="center"/>
    </xf>
    <xf numFmtId="0" fontId="16" fillId="0" borderId="21" xfId="10" applyFont="1" applyBorder="1" applyAlignment="1">
      <alignment horizontal="center" vertical="center" wrapText="1"/>
    </xf>
    <xf numFmtId="0" fontId="16" fillId="0" borderId="23" xfId="10" applyFont="1" applyBorder="1" applyAlignment="1">
      <alignment horizontal="center" vertical="center" wrapText="1"/>
    </xf>
    <xf numFmtId="0" fontId="16" fillId="0" borderId="1" xfId="10" applyFont="1" applyBorder="1" applyAlignment="1">
      <alignment horizontal="center" vertical="center" wrapText="1"/>
    </xf>
    <xf numFmtId="43" fontId="11" fillId="2" borderId="2" xfId="299" applyFont="1" applyFill="1" applyBorder="1" applyAlignment="1">
      <alignment horizontal="center" vertical="center"/>
    </xf>
    <xf numFmtId="43" fontId="11" fillId="2" borderId="3" xfId="299" applyFont="1" applyFill="1" applyBorder="1" applyAlignment="1">
      <alignment horizontal="center" vertical="center"/>
    </xf>
    <xf numFmtId="43" fontId="11" fillId="2" borderId="4" xfId="299" applyFont="1" applyFill="1" applyBorder="1" applyAlignment="1">
      <alignment horizontal="center" vertical="center"/>
    </xf>
    <xf numFmtId="0" fontId="63" fillId="2" borderId="0" xfId="0" applyFont="1" applyFill="1" applyAlignment="1">
      <alignment horizontal="center" vertical="center" wrapText="1"/>
    </xf>
    <xf numFmtId="0" fontId="62" fillId="2" borderId="2" xfId="0" applyFont="1" applyFill="1" applyBorder="1" applyAlignment="1">
      <alignment horizontal="center" vertical="center" wrapText="1"/>
    </xf>
    <xf numFmtId="0" fontId="62" fillId="2" borderId="3" xfId="0" applyFont="1" applyFill="1" applyBorder="1" applyAlignment="1">
      <alignment horizontal="center" vertical="center" wrapText="1"/>
    </xf>
    <xf numFmtId="0" fontId="62" fillId="2" borderId="4" xfId="0" applyFont="1" applyFill="1" applyBorder="1" applyAlignment="1">
      <alignment horizontal="center" vertical="center" wrapText="1"/>
    </xf>
    <xf numFmtId="0" fontId="62" fillId="2" borderId="5" xfId="0" applyFont="1" applyFill="1" applyBorder="1" applyAlignment="1">
      <alignment horizontal="center" vertical="center" wrapText="1"/>
    </xf>
    <xf numFmtId="0" fontId="62" fillId="2" borderId="0" xfId="0" applyFont="1" applyFill="1" applyAlignment="1">
      <alignment horizontal="center" vertical="center" wrapText="1"/>
    </xf>
    <xf numFmtId="0" fontId="62" fillId="2" borderId="7" xfId="0" applyFont="1" applyFill="1" applyBorder="1" applyAlignment="1">
      <alignment horizontal="center" vertical="center" wrapText="1"/>
    </xf>
    <xf numFmtId="0" fontId="62" fillId="2" borderId="8" xfId="0" applyFont="1" applyFill="1" applyBorder="1" applyAlignment="1">
      <alignment horizontal="center" vertical="center" wrapText="1"/>
    </xf>
    <xf numFmtId="0" fontId="62" fillId="2" borderId="10" xfId="0" applyFont="1" applyFill="1" applyBorder="1" applyAlignment="1">
      <alignment horizontal="center" vertical="center" wrapText="1"/>
    </xf>
    <xf numFmtId="0" fontId="62" fillId="2" borderId="11" xfId="0" applyFont="1" applyFill="1" applyBorder="1" applyAlignment="1">
      <alignment horizontal="center" vertical="center" wrapText="1"/>
    </xf>
    <xf numFmtId="0" fontId="62" fillId="2" borderId="12" xfId="294" applyFont="1" applyFill="1" applyBorder="1" applyAlignment="1">
      <alignment horizontal="center" wrapText="1"/>
    </xf>
    <xf numFmtId="0" fontId="62" fillId="2" borderId="13" xfId="294" applyFont="1" applyFill="1" applyBorder="1" applyAlignment="1">
      <alignment horizontal="center" wrapText="1"/>
    </xf>
    <xf numFmtId="0" fontId="62" fillId="2" borderId="14" xfId="294" applyFont="1" applyFill="1" applyBorder="1" applyAlignment="1">
      <alignment horizontal="center" wrapText="1"/>
    </xf>
    <xf numFmtId="0" fontId="62" fillId="39" borderId="12" xfId="294" applyFont="1" applyFill="1" applyBorder="1" applyAlignment="1">
      <alignment horizontal="center"/>
    </xf>
    <xf numFmtId="0" fontId="62" fillId="39" borderId="13" xfId="294" applyFont="1" applyFill="1" applyBorder="1" applyAlignment="1">
      <alignment horizontal="center"/>
    </xf>
    <xf numFmtId="0" fontId="62" fillId="39" borderId="14" xfId="294" applyFont="1" applyFill="1" applyBorder="1" applyAlignment="1">
      <alignment horizontal="center"/>
    </xf>
    <xf numFmtId="0" fontId="62" fillId="4" borderId="54" xfId="294" applyFont="1" applyFill="1" applyBorder="1" applyAlignment="1">
      <alignment horizontal="center" vertical="center" wrapText="1"/>
    </xf>
    <xf numFmtId="0" fontId="62" fillId="4" borderId="53" xfId="294" applyFont="1" applyFill="1" applyBorder="1" applyAlignment="1">
      <alignment horizontal="center" vertical="center" wrapText="1"/>
    </xf>
    <xf numFmtId="0" fontId="62" fillId="4" borderId="54" xfId="294" applyFont="1" applyFill="1" applyBorder="1" applyAlignment="1">
      <alignment horizontal="center" vertical="center"/>
    </xf>
    <xf numFmtId="0" fontId="62" fillId="4" borderId="53" xfId="294" applyFont="1" applyFill="1" applyBorder="1" applyAlignment="1">
      <alignment horizontal="center" vertical="center"/>
    </xf>
    <xf numFmtId="0" fontId="62" fillId="4" borderId="3" xfId="294" applyFont="1" applyFill="1" applyBorder="1" applyAlignment="1">
      <alignment horizontal="center" vertical="center" wrapText="1"/>
    </xf>
    <xf numFmtId="0" fontId="62" fillId="4" borderId="4" xfId="294" applyFont="1" applyFill="1" applyBorder="1" applyAlignment="1">
      <alignment horizontal="center" vertical="center" wrapText="1"/>
    </xf>
    <xf numFmtId="0" fontId="62" fillId="39" borderId="2" xfId="294" applyFont="1" applyFill="1" applyBorder="1" applyAlignment="1">
      <alignment horizontal="center"/>
    </xf>
    <xf numFmtId="0" fontId="62" fillId="39" borderId="3" xfId="294" applyFont="1" applyFill="1" applyBorder="1" applyAlignment="1">
      <alignment horizontal="center"/>
    </xf>
    <xf numFmtId="0" fontId="62" fillId="39" borderId="4" xfId="294" applyFont="1" applyFill="1" applyBorder="1" applyAlignment="1">
      <alignment horizontal="center"/>
    </xf>
    <xf numFmtId="43" fontId="60" fillId="2" borderId="29" xfId="1" applyFont="1" applyFill="1" applyBorder="1" applyAlignment="1">
      <alignment horizontal="center" vertical="center"/>
    </xf>
    <xf numFmtId="0" fontId="62" fillId="40" borderId="54" xfId="294" applyFont="1" applyFill="1" applyBorder="1" applyAlignment="1">
      <alignment horizontal="center" vertical="center"/>
    </xf>
    <xf numFmtId="0" fontId="62" fillId="40" borderId="53" xfId="294" applyFont="1" applyFill="1" applyBorder="1" applyAlignment="1">
      <alignment horizontal="center" vertical="center"/>
    </xf>
    <xf numFmtId="171" fontId="62" fillId="4" borderId="54" xfId="295" applyFont="1" applyFill="1" applyBorder="1" applyAlignment="1">
      <alignment horizontal="center" vertical="center"/>
    </xf>
    <xf numFmtId="171" fontId="62" fillId="4" borderId="53" xfId="295" applyFont="1" applyFill="1" applyBorder="1" applyAlignment="1">
      <alignment horizontal="center" vertical="center"/>
    </xf>
    <xf numFmtId="0" fontId="9" fillId="15" borderId="31" xfId="24" applyFont="1" applyFill="1" applyBorder="1" applyAlignment="1" applyProtection="1">
      <alignment horizontal="center" vertical="center"/>
    </xf>
    <xf numFmtId="0" fontId="9" fillId="15" borderId="32" xfId="24" applyFont="1" applyFill="1" applyBorder="1" applyAlignment="1" applyProtection="1">
      <alignment horizontal="center" vertical="center"/>
    </xf>
    <xf numFmtId="0" fontId="9" fillId="15" borderId="33" xfId="24" applyFont="1" applyFill="1" applyBorder="1" applyAlignment="1" applyProtection="1">
      <alignment horizontal="center" vertical="center"/>
    </xf>
    <xf numFmtId="0" fontId="11" fillId="15" borderId="34" xfId="24" applyFont="1" applyFill="1" applyBorder="1" applyAlignment="1" applyProtection="1">
      <alignment horizontal="center" vertical="center" wrapText="1"/>
    </xf>
    <xf numFmtId="0" fontId="11" fillId="15" borderId="34" xfId="24" applyFont="1" applyFill="1" applyBorder="1" applyAlignment="1" applyProtection="1">
      <alignment horizontal="center" vertical="center"/>
    </xf>
    <xf numFmtId="0" fontId="11" fillId="15" borderId="34" xfId="24" applyFont="1" applyFill="1" applyBorder="1" applyAlignment="1">
      <alignment horizontal="center" vertical="center" wrapText="1"/>
    </xf>
    <xf numFmtId="0" fontId="14" fillId="2" borderId="34" xfId="24" applyFont="1" applyFill="1" applyBorder="1" applyAlignment="1" applyProtection="1">
      <alignment horizontal="center" vertical="center"/>
    </xf>
    <xf numFmtId="0" fontId="14" fillId="2" borderId="31" xfId="24" applyFont="1" applyFill="1" applyBorder="1" applyAlignment="1" applyProtection="1">
      <alignment vertical="center" wrapText="1"/>
    </xf>
    <xf numFmtId="0" fontId="14" fillId="2" borderId="33" xfId="24" applyFont="1" applyFill="1" applyBorder="1" applyAlignment="1" applyProtection="1">
      <alignment vertical="center" wrapText="1"/>
    </xf>
    <xf numFmtId="3" fontId="14" fillId="2" borderId="34" xfId="24" applyNumberFormat="1" applyFont="1" applyFill="1" applyBorder="1" applyAlignment="1">
      <alignment horizontal="center" vertical="center"/>
    </xf>
    <xf numFmtId="0" fontId="14" fillId="2" borderId="34" xfId="24" applyFont="1" applyFill="1" applyBorder="1" applyAlignment="1" applyProtection="1">
      <alignment vertical="center" wrapText="1"/>
    </xf>
    <xf numFmtId="3" fontId="14" fillId="2" borderId="31" xfId="24" applyNumberFormat="1" applyFont="1" applyFill="1" applyBorder="1" applyAlignment="1">
      <alignment horizontal="center" vertical="center"/>
    </xf>
    <xf numFmtId="3" fontId="14" fillId="2" borderId="33" xfId="24" applyNumberFormat="1" applyFont="1" applyFill="1" applyBorder="1" applyAlignment="1">
      <alignment horizontal="center" vertical="center"/>
    </xf>
    <xf numFmtId="3" fontId="10" fillId="2" borderId="31" xfId="24" applyNumberFormat="1" applyFont="1" applyFill="1" applyBorder="1" applyAlignment="1">
      <alignment horizontal="center" vertical="center"/>
    </xf>
    <xf numFmtId="3" fontId="10" fillId="2" borderId="33" xfId="24" applyNumberFormat="1" applyFont="1" applyFill="1" applyBorder="1" applyAlignment="1">
      <alignment horizontal="center" vertical="center"/>
    </xf>
    <xf numFmtId="0" fontId="11" fillId="0" borderId="31" xfId="24" applyFont="1" applyFill="1" applyBorder="1" applyAlignment="1" applyProtection="1">
      <alignment horizontal="center" vertical="center" wrapText="1"/>
    </xf>
    <xf numFmtId="0" fontId="11" fillId="0" borderId="32" xfId="24" applyFont="1" applyFill="1" applyBorder="1" applyAlignment="1" applyProtection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6" xfId="0" applyBorder="1" applyAlignment="1">
      <alignment horizontal="left"/>
    </xf>
    <xf numFmtId="0" fontId="11" fillId="6" borderId="12" xfId="0" applyFont="1" applyFill="1" applyBorder="1" applyAlignment="1">
      <alignment horizontal="center" wrapText="1"/>
    </xf>
    <xf numFmtId="0" fontId="11" fillId="6" borderId="13" xfId="0" applyFont="1" applyFill="1" applyBorder="1" applyAlignment="1">
      <alignment horizontal="center" wrapText="1"/>
    </xf>
    <xf numFmtId="0" fontId="11" fillId="6" borderId="14" xfId="0" applyFont="1" applyFill="1" applyBorder="1" applyAlignment="1">
      <alignment horizontal="center" wrapText="1"/>
    </xf>
    <xf numFmtId="0" fontId="10" fillId="7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0" fillId="7" borderId="17" xfId="0" applyFont="1" applyFill="1" applyBorder="1" applyAlignment="1">
      <alignment horizontal="center"/>
    </xf>
    <xf numFmtId="0" fontId="10" fillId="7" borderId="18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6" fillId="0" borderId="16" xfId="10" applyFont="1" applyBorder="1" applyAlignment="1">
      <alignment horizontal="left"/>
    </xf>
    <xf numFmtId="0" fontId="16" fillId="0" borderId="1" xfId="10" applyFont="1" applyBorder="1" applyAlignment="1">
      <alignment horizontal="justify" vertical="center" wrapText="1"/>
    </xf>
    <xf numFmtId="0" fontId="16" fillId="0" borderId="1" xfId="10" applyFont="1" applyBorder="1" applyAlignment="1">
      <alignment horizontal="center" vertical="center"/>
    </xf>
  </cellXfs>
  <cellStyles count="301">
    <cellStyle name="20% - Énfasis1 2" xfId="28" xr:uid="{A7B5F193-75CE-471D-A9A3-5C6354591BF4}"/>
    <cellStyle name="20% - Énfasis1 3" xfId="158" xr:uid="{7D729FFC-8F26-4D61-B8BE-69C4129CA969}"/>
    <cellStyle name="20% - Énfasis2 2" xfId="29" xr:uid="{4B3DFBBA-8123-44EA-9C7B-DDD0DDCED860}"/>
    <cellStyle name="20% - Énfasis2 3" xfId="159" xr:uid="{EBE52CC9-9240-4209-A6A6-5A87805E5B8C}"/>
    <cellStyle name="20% - Énfasis3 2" xfId="30" xr:uid="{CA66F245-28A9-4839-BA72-A8D84D8190F1}"/>
    <cellStyle name="20% - Énfasis3 3" xfId="160" xr:uid="{3355D30A-F206-4BDE-A1DE-8DF85059EF67}"/>
    <cellStyle name="20% - Énfasis4 2" xfId="31" xr:uid="{78155841-7D36-4183-8E0A-FB385082BB4F}"/>
    <cellStyle name="20% - Énfasis4 3" xfId="161" xr:uid="{321D8BF5-16DA-433A-9A56-9BEE17603680}"/>
    <cellStyle name="20% - Énfasis5 2" xfId="32" xr:uid="{9FE5B946-34B2-49A8-B844-A13C7906CE3D}"/>
    <cellStyle name="20% - Énfasis5 3" xfId="162" xr:uid="{FCDF3962-D72C-4574-8B66-9353081A5EEF}"/>
    <cellStyle name="20% - Énfasis6 2" xfId="33" xr:uid="{CB8BE9A7-4A07-439F-AE1E-DD63FB0D287D}"/>
    <cellStyle name="20% - Énfasis6 3" xfId="163" xr:uid="{20BFDB45-22AB-45FD-AF53-AE64962E7423}"/>
    <cellStyle name="40% - Énfasis1 2" xfId="34" xr:uid="{E913A1DF-368D-46AC-8C11-7A0CB958F1C7}"/>
    <cellStyle name="40% - Énfasis1 3" xfId="164" xr:uid="{D90A04FC-E6F4-43CF-8B2E-0822F6428E93}"/>
    <cellStyle name="40% - Énfasis2 2" xfId="35" xr:uid="{1F6C5E07-557D-4E54-8E9E-2E0A7786B3D0}"/>
    <cellStyle name="40% - Énfasis2 3" xfId="165" xr:uid="{2AA79F81-B09A-44A7-B1BE-F16D8E5C08B7}"/>
    <cellStyle name="40% - Énfasis3 2" xfId="36" xr:uid="{C46F4C4B-7681-48AB-8FDE-A6FB67F07300}"/>
    <cellStyle name="40% - Énfasis3 3" xfId="166" xr:uid="{30E89F9F-E769-4FE4-85B4-4864F493DDEE}"/>
    <cellStyle name="40% - Énfasis4 2" xfId="37" xr:uid="{F1C983BC-461D-444E-950A-22232F345F9A}"/>
    <cellStyle name="40% - Énfasis4 3" xfId="167" xr:uid="{E2185820-526B-4B24-A601-791C9135FA7F}"/>
    <cellStyle name="40% - Énfasis5 2" xfId="38" xr:uid="{5AFEE385-9132-4930-8F8C-D8C1BFAA7BB1}"/>
    <cellStyle name="40% - Énfasis5 3" xfId="168" xr:uid="{BC40CB5C-0E67-49E4-A729-1EF5CEA6078D}"/>
    <cellStyle name="40% - Énfasis6 2" xfId="39" xr:uid="{0722F1FC-2E4E-408D-938B-94CEECDDBEF2}"/>
    <cellStyle name="40% - Énfasis6 3" xfId="169" xr:uid="{5281B20E-D0D8-4054-86FB-BF870E582B7C}"/>
    <cellStyle name="60% - Énfasis1 2" xfId="40" xr:uid="{F655617A-461D-4A42-BB25-0C4DBFD76CCA}"/>
    <cellStyle name="60% - Énfasis1 3" xfId="170" xr:uid="{77070D08-0B1E-4A91-976E-A11A5D499135}"/>
    <cellStyle name="60% - Énfasis2 2" xfId="41" xr:uid="{BD9E24A5-4656-48F5-AFAA-9BA326182B98}"/>
    <cellStyle name="60% - Énfasis2 3" xfId="171" xr:uid="{518184D4-0EF9-4F37-A464-DF261B46A420}"/>
    <cellStyle name="60% - Énfasis3 2" xfId="42" xr:uid="{BFB7626A-9746-4184-94C2-B7F2801C67ED}"/>
    <cellStyle name="60% - Énfasis3 3" xfId="172" xr:uid="{D2A91A7D-1FC6-4265-B90E-B879C69F0570}"/>
    <cellStyle name="60% - Énfasis4 2" xfId="43" xr:uid="{C8376EDC-4334-498B-9C5C-B11F4A3A8E5B}"/>
    <cellStyle name="60% - Énfasis4 3" xfId="173" xr:uid="{6AEDF50B-0346-4D44-A13E-E3DAC1DA3D79}"/>
    <cellStyle name="60% - Énfasis5 2" xfId="44" xr:uid="{3F8B7B67-7549-46B0-94D6-51B9EE2B172F}"/>
    <cellStyle name="60% - Énfasis5 3" xfId="174" xr:uid="{34AB31E5-C638-4DD7-A2E4-440CD4126DF3}"/>
    <cellStyle name="60% - Énfasis6 2" xfId="45" xr:uid="{B03F4E9B-36C7-443E-94E4-5CFCFA96E04A}"/>
    <cellStyle name="60% - Énfasis6 3" xfId="175" xr:uid="{20A76CF6-8697-427B-820D-4A84C66F308D}"/>
    <cellStyle name="Buena 2" xfId="46" xr:uid="{99A4BAAB-6016-41C7-B433-31391D0BFCA3}"/>
    <cellStyle name="Buena 3" xfId="176" xr:uid="{69BCE148-9DFC-4198-A23B-914E0ADCC093}"/>
    <cellStyle name="Bueno" xfId="23" builtinId="26"/>
    <cellStyle name="Cálculo 2" xfId="47" xr:uid="{999D57CE-28CE-4E56-8EFB-7E1082D3BAD7}"/>
    <cellStyle name="Cálculo 3" xfId="177" xr:uid="{6510AE3C-8038-4567-85D0-49EE023A354C}"/>
    <cellStyle name="Cancel" xfId="178" xr:uid="{5EA4F783-DDAE-4ABA-AFB1-01FCE24D7BAE}"/>
    <cellStyle name="Celda de comprobación 2" xfId="48" xr:uid="{6DAB68EB-7A68-4F01-BF7B-303247DDE69B}"/>
    <cellStyle name="Celda de comprobación 3" xfId="179" xr:uid="{E48DC3B5-669F-4C7B-9453-80EC4EF96E91}"/>
    <cellStyle name="Celda vinculada 2" xfId="49" xr:uid="{F05D875A-78C5-4B14-A3F6-029BCAED94A8}"/>
    <cellStyle name="Celda vinculada 3" xfId="180" xr:uid="{3212466F-B86C-4CAE-985D-2D55C993C31D}"/>
    <cellStyle name="CIENTOS" xfId="181" xr:uid="{7C4AD5F4-F2C4-4EE8-B1CA-EFB0F58CD534}"/>
    <cellStyle name="CIENTOS 2" xfId="182" xr:uid="{293FD2ED-5C2C-4905-BB36-C25BC4A7CF91}"/>
    <cellStyle name="CIENTOS 2D" xfId="183" xr:uid="{05CA1221-6683-473D-9E4B-1B08BCEADFB5}"/>
    <cellStyle name="CIENTOS 2D 2" xfId="184" xr:uid="{0B46E898-32F9-4BB2-8EA9-E219E17A94C6}"/>
    <cellStyle name="CIENTOS 2D_PRESUPUESTO FASE III ABR-2015 Rev3" xfId="185" xr:uid="{BF7D3860-4880-4353-9090-7EF7FAB3FF91}"/>
    <cellStyle name="CIENTOS 3D" xfId="186" xr:uid="{2F68C752-FC6F-408F-8FD7-DB00BA7F4F40}"/>
    <cellStyle name="CIENTOS 3D 2" xfId="187" xr:uid="{B445C3A7-5F67-46B5-BB5C-760146AFB36F}"/>
    <cellStyle name="CIENTOS 3D_PRESUPUESTO FASE III ABR-2015 Rev3" xfId="188" xr:uid="{37548301-2461-42F1-9181-A7CE049A25FA}"/>
    <cellStyle name="CIENTOS 4D" xfId="189" xr:uid="{2FB7DA8F-28AE-4822-B983-1F252B746D60}"/>
    <cellStyle name="CIENTOS 4D 2" xfId="190" xr:uid="{16590FBA-AE63-49B1-AC28-041DF24547A6}"/>
    <cellStyle name="CIENTOS 4D_PRESUPUESTO FASE III ABR-2015 Rev3" xfId="191" xr:uid="{AE83318A-5677-40A7-BB70-86C03E85A244}"/>
    <cellStyle name="CIENTOS_CantidadesGirardota" xfId="192" xr:uid="{C2DD5752-56D8-43FF-9625-20F7869CB87F}"/>
    <cellStyle name="Comma" xfId="193" xr:uid="{9C7D2FA1-62B8-4583-89A3-369161702EC1}"/>
    <cellStyle name="Comma0" xfId="194" xr:uid="{703F3225-19C9-47F8-A316-8E786A621641}"/>
    <cellStyle name="Currency" xfId="195" xr:uid="{7C60CCE1-1997-48F7-82AB-C0CD0DC0BCF4}"/>
    <cellStyle name="Currency0" xfId="196" xr:uid="{296579B7-D26C-45E4-99B7-9D103D166A85}"/>
    <cellStyle name="Date" xfId="197" xr:uid="{64803A4A-9437-4191-AE46-54143A73EF52}"/>
    <cellStyle name="Encabezado 4 2" xfId="50" xr:uid="{3D7F17F1-9462-41A4-A501-A3C5BFBE5C4D}"/>
    <cellStyle name="Encabezado 4 3" xfId="198" xr:uid="{989296EF-AD7F-4EF2-A341-1F1683245BFD}"/>
    <cellStyle name="Énfasis1 2" xfId="51" xr:uid="{F67E0AF2-EBC3-4744-8B9A-AE0D9ADE20DB}"/>
    <cellStyle name="Énfasis1 3" xfId="199" xr:uid="{D4DA0A37-1E2C-4192-8C34-A52077B2C1DF}"/>
    <cellStyle name="Énfasis2 2" xfId="52" xr:uid="{95800D0F-65BE-4DC2-9313-378C865AF963}"/>
    <cellStyle name="Énfasis2 3" xfId="200" xr:uid="{6789512A-3C65-44C3-A61F-93D9B9757610}"/>
    <cellStyle name="Énfasis3 2" xfId="53" xr:uid="{228EBD82-B072-4856-B9D0-28522182DC77}"/>
    <cellStyle name="Énfasis3 3" xfId="201" xr:uid="{EF2297FE-FD21-4C55-9C1B-9293A48D4DE7}"/>
    <cellStyle name="Énfasis4 2" xfId="54" xr:uid="{5C68F194-FC0E-41F0-B06C-DCA329E43C17}"/>
    <cellStyle name="Énfasis4 3" xfId="202" xr:uid="{3C43CA9A-31CC-4969-B9A8-7467CF6FC604}"/>
    <cellStyle name="Énfasis5 2" xfId="55" xr:uid="{0D86A8AE-F921-4D12-B4DE-7DA6D1EAB0D1}"/>
    <cellStyle name="Énfasis5 3" xfId="203" xr:uid="{55D11EE6-123F-451A-9E30-5D093FC7379F}"/>
    <cellStyle name="Énfasis6 2" xfId="56" xr:uid="{04F97240-1F5A-4C6F-9600-6799F230D230}"/>
    <cellStyle name="Énfasis6 3" xfId="204" xr:uid="{E955D7AF-198B-4941-9915-3E60E27F3F89}"/>
    <cellStyle name="Entrada 2" xfId="57" xr:uid="{C617DDB1-3A95-47D0-A068-0D74978A682A}"/>
    <cellStyle name="Entrada 3" xfId="205" xr:uid="{4D78324D-1F53-4996-9431-3F913B06C1B4}"/>
    <cellStyle name="Estilo 1" xfId="58" xr:uid="{C06E7861-21F0-4B30-BD89-9D62235DD56F}"/>
    <cellStyle name="Euro" xfId="59" xr:uid="{D1BE84EC-2BB3-4498-8E8D-184EC46A35C7}"/>
    <cellStyle name="F2" xfId="206" xr:uid="{11791C7C-AFFF-47EE-9B47-5E48C599036B}"/>
    <cellStyle name="F3" xfId="207" xr:uid="{7D664248-E699-4328-8E82-2D9B75F5CA10}"/>
    <cellStyle name="F4" xfId="208" xr:uid="{8F0A9107-92D4-4FB1-B04B-D6D2079BA685}"/>
    <cellStyle name="F5" xfId="209" xr:uid="{4E925AF0-C774-412E-A32D-17338EC92303}"/>
    <cellStyle name="F6" xfId="210" xr:uid="{41B69F60-16C8-4715-A89B-117D08B95A79}"/>
    <cellStyle name="F7" xfId="211" xr:uid="{3B4C3F8B-8706-45B2-AFBF-5EA0997D568E}"/>
    <cellStyle name="F8" xfId="212" xr:uid="{C73E95DB-629C-45F7-B7A9-6C09822C4904}"/>
    <cellStyle name="Fixed" xfId="213" xr:uid="{FE513A0B-5962-4C11-A7BA-A2572B438BD9}"/>
    <cellStyle name="Heading 1" xfId="214" xr:uid="{329FBE68-BCAD-4D8B-9DC5-D5D58AABF052}"/>
    <cellStyle name="Heading 2" xfId="215" xr:uid="{EA2872B3-D804-450C-AA4A-AE441ED8C62C}"/>
    <cellStyle name="Heading1" xfId="216" xr:uid="{8DB00643-A918-49CD-8A32-483932E62D0F}"/>
    <cellStyle name="Heading2" xfId="217" xr:uid="{009C8157-6E02-449A-968E-21AB37988EA0}"/>
    <cellStyle name="Hipervínculo" xfId="300" builtinId="8"/>
    <cellStyle name="Incorrecto 2" xfId="60" xr:uid="{5933112B-428A-46E4-A866-7B40E69C8164}"/>
    <cellStyle name="Incorrecto 3" xfId="218" xr:uid="{4B6A4480-7D98-405A-9E48-2A98FFB2F63D}"/>
    <cellStyle name="MILE DE MILLONES" xfId="219" xr:uid="{36952D00-A53F-4093-97D6-47C292069BFE}"/>
    <cellStyle name="MILE DE MILLONES 2" xfId="220" xr:uid="{60769020-431A-411B-8C3B-EFEDB5F1A540}"/>
    <cellStyle name="MILE DE MILLONES_PRESUPUESTO FASE III ABR-2015 Rev3" xfId="221" xr:uid="{2D88FA95-F982-472B-B06D-8E77D51C4B9C}"/>
    <cellStyle name="MILES" xfId="222" xr:uid="{B6DBE794-8128-4C8F-8B1A-341A3CAB3B5E}"/>
    <cellStyle name="MILES 2" xfId="223" xr:uid="{84AF5EB0-442B-4704-9A2D-22FB4680C5CF}"/>
    <cellStyle name="Millares" xfId="1" builtinId="3"/>
    <cellStyle name="Millares [2]" xfId="61" xr:uid="{C22EE84B-6A1C-428C-8AF5-7C9DC36A3456}"/>
    <cellStyle name="Millares [2] 2" xfId="224" xr:uid="{DB0CC394-969B-418B-B74C-057CA99B0A3F}"/>
    <cellStyle name="Millares 10" xfId="62" xr:uid="{12E88531-9760-4B8E-8D5C-8100DBA6DB51}"/>
    <cellStyle name="Millares 10 2" xfId="63" xr:uid="{2AA06BDF-B66F-470E-A388-5CA99BC69422}"/>
    <cellStyle name="Millares 10 2 2" xfId="289" xr:uid="{169D168A-EB68-48B5-B568-34751F9231D4}"/>
    <cellStyle name="Millares 11" xfId="64" xr:uid="{5A46C209-40AB-430B-8514-6FF0192DADD0}"/>
    <cellStyle name="Millares 11 2" xfId="225" xr:uid="{E1495E85-F577-4F53-BDA9-95D8A73E2D97}"/>
    <cellStyle name="Millares 12" xfId="148" xr:uid="{67EE4E63-0E1D-4941-9CF0-D3FBEB7DC0FC}"/>
    <cellStyle name="Millares 13" xfId="156" xr:uid="{6893F83F-9DFB-4EEB-A845-ADCF6CEA3174}"/>
    <cellStyle name="Millares 2" xfId="65" xr:uid="{EB2DC332-9000-4D1B-82AD-D007C4FF7C56}"/>
    <cellStyle name="Millares 2 2" xfId="66" xr:uid="{6F48DF03-BC1D-432C-AFBA-F390911CFEBA}"/>
    <cellStyle name="Millares 2 3" xfId="67" xr:uid="{38BFC85A-8FB1-4D2D-8F46-93068BD30645}"/>
    <cellStyle name="Millares 2 4" xfId="226" xr:uid="{AC2A4D41-E35F-4007-A3EE-998E8A0F31E6}"/>
    <cellStyle name="Millares 2 4 2" xfId="299" xr:uid="{E0B500F3-0879-4892-B493-6C2CE3793155}"/>
    <cellStyle name="Millares 2 5" xfId="68" xr:uid="{2F123886-492E-4295-86E2-A1C06CD7EA4C}"/>
    <cellStyle name="Millares 2 6" xfId="285" xr:uid="{C34BFA5E-19C7-4293-A4AB-8AF980D9FF34}"/>
    <cellStyle name="Millares 2_APU´S_NO_PREVISTOS (1)" xfId="227" xr:uid="{4D79B2F5-F50A-4810-9053-6DE4C2B5F067}"/>
    <cellStyle name="Millares 3" xfId="69" xr:uid="{A6056318-0E4F-4FBC-AAB6-35233505F0B0}"/>
    <cellStyle name="Millares 3 2" xfId="70" xr:uid="{DB4BCF06-9600-43AF-8DFE-636C692C8060}"/>
    <cellStyle name="Millares 3 3" xfId="71" xr:uid="{1F8A3A1C-A0C1-4AA7-B30E-6CECBF275791}"/>
    <cellStyle name="Millares 3 4" xfId="72" xr:uid="{167D3F61-2C00-4BA6-83F9-44B0BB776AAD}"/>
    <cellStyle name="Millares 3 5" xfId="73" xr:uid="{36E29B2D-1B79-48AE-A92B-70657B744831}"/>
    <cellStyle name="Millares 37" xfId="292" xr:uid="{EC201076-30B1-44B8-886B-989BDD61440F}"/>
    <cellStyle name="Millares 4" xfId="74" xr:uid="{CB11E825-A928-4B38-A3C4-6ECB0A4A02FE}"/>
    <cellStyle name="Millares 4 2" xfId="75" xr:uid="{2484CA43-CBFC-4FB4-8252-6A1680AABF9F}"/>
    <cellStyle name="Millares 4 3" xfId="4" xr:uid="{D041D102-061D-4DBF-AB3F-D5E4F90D262A}"/>
    <cellStyle name="Millares 4 3 2" xfId="284" xr:uid="{EA82B1C1-0B44-413E-930E-CE586FF2A343}"/>
    <cellStyle name="Millares 4 3 3" xfId="228" xr:uid="{CFA5ECC3-DC0D-429A-8018-39E6B291296E}"/>
    <cellStyle name="Millares 4_APU´S_NO_PREVISTOS (1)" xfId="229" xr:uid="{381C8583-1ED5-4330-89AE-E23BD93078C3}"/>
    <cellStyle name="Millares 5" xfId="76" xr:uid="{DA6F95C2-46DA-4852-A666-9B49044726E1}"/>
    <cellStyle name="Millares 5 2" xfId="230" xr:uid="{66CE2EA5-9ACE-41EA-A636-A29B0932BCB4}"/>
    <cellStyle name="Millares 6" xfId="77" xr:uid="{461CEF30-F5C5-41C5-BBA3-DA02AA9921A8}"/>
    <cellStyle name="Millares 6 2" xfId="78" xr:uid="{D6DF4883-6532-4B27-BBD5-A1F7704A1369}"/>
    <cellStyle name="Millares 7" xfId="79" xr:uid="{E015D520-F5B6-49A6-8D33-D1F654AB0E89}"/>
    <cellStyle name="Millares 7 2" xfId="80" xr:uid="{13A4D7AC-6043-4125-B1BD-6B3BDFAF5A9C}"/>
    <cellStyle name="Millares 7 2 2" xfId="81" xr:uid="{6688D00B-546D-46D7-8E0F-8BA42FE46B75}"/>
    <cellStyle name="Millares 8" xfId="82" xr:uid="{DE2E9120-2160-4508-BDA3-091136A9C540}"/>
    <cellStyle name="Millares 8 2" xfId="83" xr:uid="{5D7BD2EC-680F-4125-BB51-F0A752C65EE7}"/>
    <cellStyle name="Millares 9" xfId="84" xr:uid="{18A3E230-EF97-4E91-BEA5-0AF97D6B8A28}"/>
    <cellStyle name="Millares 9 2" xfId="85" xr:uid="{2088C1D0-1797-45CF-9316-54351526B4F6}"/>
    <cellStyle name="MILLONES" xfId="231" xr:uid="{AB325AF2-CF47-48A2-81C9-01A7A345FCB2}"/>
    <cellStyle name="MILLONES 2" xfId="232" xr:uid="{75DD0D3F-5FF9-4F16-8394-323092D91E3B}"/>
    <cellStyle name="MILLONES_PRESUPUESTO FASE III ABR-2015 Rev3" xfId="233" xr:uid="{5A546C58-C1E6-4C0B-B2E4-7F8CDC553426}"/>
    <cellStyle name="Moneda" xfId="22" builtinId="4"/>
    <cellStyle name="Moneda [0]" xfId="8" builtinId="7"/>
    <cellStyle name="Moneda [0] 2" xfId="281" xr:uid="{F6F987B7-4160-446E-BD1D-C8AAB583E512}"/>
    <cellStyle name="Moneda [0] 2 2" xfId="11" xr:uid="{57C39B2A-106F-4CD7-ACF8-4D99D7F8A29D}"/>
    <cellStyle name="Moneda [0] 2 2 2" xfId="290" xr:uid="{B12350DC-0C84-4521-9255-292CBF41CFF7}"/>
    <cellStyle name="Moneda [0] 2 2 3" xfId="279" xr:uid="{C0B8B9DF-3597-4DFA-A476-A877F63074FD}"/>
    <cellStyle name="Moneda [0] 3" xfId="17" xr:uid="{0F994F29-A050-4CF4-A95E-84595A192021}"/>
    <cellStyle name="Moneda [0] 3 2" xfId="21" xr:uid="{9103EEE2-A333-4291-80A7-B3EA4D944B7A}"/>
    <cellStyle name="Moneda [0] 3 3" xfId="291" xr:uid="{BEBCA65D-55EC-4A60-97C9-A0D2C3746C24}"/>
    <cellStyle name="Moneda 10 2" xfId="86" xr:uid="{836F88E7-489E-4E6F-9240-E92375E01E56}"/>
    <cellStyle name="Moneda 11" xfId="27" xr:uid="{7FF95527-334B-4D76-A8A0-BB872D0C77F7}"/>
    <cellStyle name="Moneda 15" xfId="6" xr:uid="{3DE1F310-A62E-42CA-89E9-B1C6F05862A4}"/>
    <cellStyle name="Moneda 2" xfId="87" xr:uid="{B570ACFA-8773-4DC4-B3BC-9B2693EE3F8C}"/>
    <cellStyle name="Moneda 2 10" xfId="234" xr:uid="{D6A94FEA-FBD8-4471-9E3E-7886A4F65500}"/>
    <cellStyle name="Moneda 2 11" xfId="235" xr:uid="{35214639-0679-4C28-8AF7-EAA6C71F9E00}"/>
    <cellStyle name="Moneda 2 12" xfId="236" xr:uid="{C6EAD218-94CD-4CF1-98B9-16171AFD39A0}"/>
    <cellStyle name="Moneda 2 2" xfId="88" xr:uid="{866D4BCF-757B-45CA-8D4C-3E3C7109B975}"/>
    <cellStyle name="Moneda 2 2 2" xfId="7" xr:uid="{940C0C29-8856-4123-8A36-7CBF1258CAC8}"/>
    <cellStyle name="Moneda 2 2 2 2" xfId="90" xr:uid="{A7D7162A-DB7C-477A-B6DE-C1033503C968}"/>
    <cellStyle name="Moneda 2 2 2 2 2" xfId="152" xr:uid="{8BE148DF-6944-4200-A93E-305DE38E13F1}"/>
    <cellStyle name="Moneda 2 2 2 3" xfId="287" xr:uid="{9A0ABE8E-1A88-45DB-9EC8-13420BF80D4D}"/>
    <cellStyle name="Moneda 2 2 2 4" xfId="89" xr:uid="{0511D976-349A-431D-9575-BC720EB4E0CE}"/>
    <cellStyle name="Moneda 2 2 3" xfId="19" xr:uid="{F77609B9-95D9-46A2-A2A1-2D105BC81F00}"/>
    <cellStyle name="Moneda 2 2 3 2" xfId="91" xr:uid="{172D6713-8FAA-4F0A-80CE-0AE02D4F8773}"/>
    <cellStyle name="Moneda 2 2 4" xfId="92" xr:uid="{CCBDA7CA-9DB0-436C-B249-AB6819DE304B}"/>
    <cellStyle name="Moneda 2 2 5" xfId="93" xr:uid="{3026B529-6371-400B-BC6D-DB841BAB000F}"/>
    <cellStyle name="Moneda 2 2 6" xfId="295" xr:uid="{E245B65C-F753-498C-B800-AA13D7A10C39}"/>
    <cellStyle name="Moneda 2 2_APU´S_NO_PREVISTOS (1)" xfId="237" xr:uid="{D3C3D64B-CEB4-4DD8-AFC5-C6B762A6994B}"/>
    <cellStyle name="Moneda 2 3" xfId="94" xr:uid="{97599679-C790-4DC8-849C-A63C9E3DC0A3}"/>
    <cellStyle name="Moneda 2 3 3" xfId="297" xr:uid="{1DEB3EE1-28E3-4A59-AE31-5D42F30A7498}"/>
    <cellStyle name="Moneda 2 4" xfId="238" xr:uid="{581AF971-4CE3-4841-91CE-88BA1D5D8855}"/>
    <cellStyle name="Moneda 2 5" xfId="239" xr:uid="{BF0F4E2D-6488-4A7C-BA3C-8D3DEBC768B6}"/>
    <cellStyle name="Moneda 2 6" xfId="240" xr:uid="{39FA9990-15A9-4693-A16C-F4BF4C56DDD7}"/>
    <cellStyle name="Moneda 2 7" xfId="241" xr:uid="{57F2D9CF-F449-4E8A-853F-6268BB35D69B}"/>
    <cellStyle name="Moneda 2 8" xfId="242" xr:uid="{5218B084-ABEF-41DA-98F8-BF712A803B15}"/>
    <cellStyle name="Moneda 2 9" xfId="243" xr:uid="{97B2D7A5-63E0-426F-91BB-DD4D86BCC441}"/>
    <cellStyle name="Moneda 2_APU´S_NO_PREVISTOS (1)" xfId="244" xr:uid="{CAD6BD01-1685-4773-AA5F-11FB0AB3DDD8}"/>
    <cellStyle name="Moneda 3" xfId="95" xr:uid="{0075E6C2-6C88-4FD0-9B1A-2C6F6E4E9B2A}"/>
    <cellStyle name="Moneda 4" xfId="245" xr:uid="{1ABAFC08-FB43-4EB6-A697-4A8F63798921}"/>
    <cellStyle name="Moneda 4 2 3" xfId="16" xr:uid="{01CD9BEF-C534-40C1-AA40-5321C81D39D2}"/>
    <cellStyle name="Moneda 4 2 3 2" xfId="282" xr:uid="{0D3271E6-0E5F-467B-8379-A86CCFA97CF3}"/>
    <cellStyle name="Moneda 4 3" xfId="13" xr:uid="{0F27EA89-279C-4435-8022-E454231596C9}"/>
    <cellStyle name="Moneda 4 5" xfId="14" xr:uid="{117719F2-5067-4A22-B7E0-180A035EBDA4}"/>
    <cellStyle name="Moneda 5" xfId="286" xr:uid="{B7C36B58-5520-4344-AFA1-B03B33F4B052}"/>
    <cellStyle name="Moneda 6" xfId="277" xr:uid="{7DD01620-B831-41D4-A637-BBCEDF20CE91}"/>
    <cellStyle name="Monetario0" xfId="246" xr:uid="{ECF91D74-1BB3-414D-999A-A36C92DF3EBA}"/>
    <cellStyle name="Neutral 2" xfId="97" xr:uid="{94C7E3C7-BEDC-4B49-885A-45EC23107684}"/>
    <cellStyle name="Neutral 3" xfId="247" xr:uid="{9A474830-F79E-4403-A277-4C5D27781E24}"/>
    <cellStyle name="Neutral 4" xfId="96" xr:uid="{5DB42BD2-6442-419E-85F6-C8E6FDC529CB}"/>
    <cellStyle name="No. punto" xfId="248" xr:uid="{EB6BFBF4-7348-452F-9B2F-8BA1B14CEB5F}"/>
    <cellStyle name="No. punto 2" xfId="249" xr:uid="{1AA5040B-FB43-41CE-9D0F-3769EFCAF94F}"/>
    <cellStyle name="Normal" xfId="0" builtinId="0"/>
    <cellStyle name="Normal 10" xfId="278" xr:uid="{55CDC540-9F6D-4C97-BE96-37FC96747963}"/>
    <cellStyle name="Normal 13" xfId="20" xr:uid="{C51140B3-2901-4237-8F35-E2B4F0436DE6}"/>
    <cellStyle name="Normal 15 2" xfId="288" xr:uid="{E7AFD5D2-4142-49C0-9EEF-42A80BF96BD3}"/>
    <cellStyle name="Normal 18" xfId="3" xr:uid="{A9935FD4-5B04-4B5C-AD8C-077FEA073C70}"/>
    <cellStyle name="Normal 2" xfId="25" xr:uid="{586B095D-4BE3-4A05-BB52-65D3E3675DE0}"/>
    <cellStyle name="Normal 2 10" xfId="99" xr:uid="{7846E40F-34D8-4E09-BD08-A880F8B5093F}"/>
    <cellStyle name="Normal 2 10 2" xfId="100" xr:uid="{E33E6859-A3A6-4449-8092-803792032DC5}"/>
    <cellStyle name="Normal 2 10 2 2" xfId="157" xr:uid="{0B6F4418-7329-4BD7-B108-0D46E1839229}"/>
    <cellStyle name="Normal 2 10 3" xfId="149" xr:uid="{4F90EC8F-90A4-4230-9B9A-209242DA892B}"/>
    <cellStyle name="Normal 2 11" xfId="101" xr:uid="{A08E821C-7B9A-4EE7-9748-93DAA1C76ACC}"/>
    <cellStyle name="Normal 2 12" xfId="102" xr:uid="{14492431-A605-4F4B-AE1B-86B499FB8D40}"/>
    <cellStyle name="Normal 2 13" xfId="103" xr:uid="{00027977-FEDE-4850-8F99-FB7A7E6F5CE3}"/>
    <cellStyle name="Normal 2 14" xfId="98" xr:uid="{C41FC3A5-D22A-4097-A002-5D680C82C99D}"/>
    <cellStyle name="Normal 2 2" xfId="104" xr:uid="{5E61D0E1-F279-4538-B56C-78D7839ECD41}"/>
    <cellStyle name="Normal 2 2 2" xfId="250" xr:uid="{1135992A-A6A3-49C6-A4AC-91640981E5CE}"/>
    <cellStyle name="Normal 2 2 3" xfId="251" xr:uid="{28517B70-EEC3-4EBC-AA60-65B7C4356946}"/>
    <cellStyle name="Normal 2 3" xfId="5" xr:uid="{30F5F7CC-0F12-4721-B377-8DF3B3F3EB98}"/>
    <cellStyle name="Normal 2 3 2" xfId="252" xr:uid="{C56237E6-B39B-44C3-9D55-5899D942FFB6}"/>
    <cellStyle name="Normal 2 3 2 2" xfId="298" xr:uid="{5F614611-A5C0-4586-A27D-3392C1A72D03}"/>
    <cellStyle name="Normal 2 3 3" xfId="283" xr:uid="{3F227BD1-D0AB-4C11-8C6E-59C8C14A496B}"/>
    <cellStyle name="Normal 2 3 4" xfId="105" xr:uid="{F7B7E99F-C134-40D0-861E-6BC2E4007B40}"/>
    <cellStyle name="Normal 2 4" xfId="106" xr:uid="{C70F9581-6BA8-4E0D-94E0-2FBC172B23DC}"/>
    <cellStyle name="Normal 2 5" xfId="107" xr:uid="{6A873FFF-E2AE-40EA-9A1B-77B93D99DE66}"/>
    <cellStyle name="Normal 2 5 2" xfId="294" xr:uid="{A3355A07-E3FE-44D9-8D65-FF0AB85266A0}"/>
    <cellStyle name="Normal 2 6" xfId="108" xr:uid="{CDD6EDC4-592D-4344-85E0-159E97DAA129}"/>
    <cellStyle name="Normal 2 7" xfId="109" xr:uid="{D963DC26-81ED-416F-8DC5-5AC68D7D24AC}"/>
    <cellStyle name="Normal 2 8" xfId="110" xr:uid="{2E8521C9-7019-4981-8CBA-DE5BBF9336C6}"/>
    <cellStyle name="Normal 2 9" xfId="111" xr:uid="{9D560F2B-7475-40E5-9475-2F4A321A21CA}"/>
    <cellStyle name="Normal 2_APU NO PREVISTOS MTTO" xfId="112" xr:uid="{07137237-5270-449D-BB2D-A57B93F84313}"/>
    <cellStyle name="Normal 29" xfId="113" xr:uid="{55840A59-AC1B-4D10-8515-CB8866F5AC04}"/>
    <cellStyle name="Normal 3" xfId="114" xr:uid="{8E8E5062-36F9-4D07-A25C-DAE6CB580FF3}"/>
    <cellStyle name="Normal 3 11" xfId="153" xr:uid="{8C94DEDC-6C94-4AAC-830C-175F169D629F}"/>
    <cellStyle name="Normal 3 2" xfId="115" xr:uid="{D5405213-0D5B-4864-B69E-160CDCE4D68C}"/>
    <cellStyle name="Normal 3 2 2" xfId="151" xr:uid="{AEB2ECA0-E188-4369-BAB3-4CCC4653ADBE}"/>
    <cellStyle name="Normal 3 3" xfId="253" xr:uid="{9C34126F-77CD-409B-84F1-CCDFC479B0E2}"/>
    <cellStyle name="Normal 3_APU´S_NO_PREVISTOS (1)" xfId="254" xr:uid="{59133D8A-0AEE-41B8-8327-39E2F53A4A69}"/>
    <cellStyle name="Normal 4" xfId="116" xr:uid="{7944788E-2F5A-4043-B843-6AECEA0B24E0}"/>
    <cellStyle name="Normal 4 2" xfId="2" xr:uid="{087DD4C1-C87A-42BD-9FC7-D1D061E47C75}"/>
    <cellStyle name="Normal 4 2 2" xfId="255" xr:uid="{485AD746-CF95-46A0-AA6B-47A8FF087CD5}"/>
    <cellStyle name="Normal 4 4" xfId="26" xr:uid="{99AB8B26-7628-4C78-B65D-5F20BFDC3DD6}"/>
    <cellStyle name="Normal 5" xfId="155" xr:uid="{E18B57DA-165A-47B9-A31E-A5F07D86750C}"/>
    <cellStyle name="Normal 5 2 2" xfId="18" xr:uid="{11FFA6B6-0E06-42EC-BFC4-00B0C3D4140A}"/>
    <cellStyle name="Normal 5 2 3" xfId="15" xr:uid="{B294DF45-765D-48AB-92E9-D3CE21536E54}"/>
    <cellStyle name="Normal 5 3" xfId="10" xr:uid="{F0470EA0-DBFE-410E-B0C5-7C6C236F79DB}"/>
    <cellStyle name="Normal 6" xfId="256" xr:uid="{76D95133-52D9-45B6-8CAA-83C32F2FB880}"/>
    <cellStyle name="Normal 6 2" xfId="257" xr:uid="{FA8C1A3F-BC93-4AAB-9B1C-8A8E6B74765A}"/>
    <cellStyle name="Normal 7" xfId="258" xr:uid="{C964C1B0-B99D-4497-90D5-DF67FFCD419C}"/>
    <cellStyle name="Normal 8" xfId="259" xr:uid="{57764ACE-46AB-4A5D-AA03-3556C9D81E03}"/>
    <cellStyle name="Normal 9" xfId="260" xr:uid="{22F19CAB-46E1-4202-8902-E30F0BB4118B}"/>
    <cellStyle name="Normal 9 2" xfId="154" xr:uid="{78A9D4A7-1F13-495D-AC3F-2F62AF43819A}"/>
    <cellStyle name="Notas 2" xfId="117" xr:uid="{8229EA2B-856E-4C46-B84B-7482F64114EB}"/>
    <cellStyle name="Notas 3" xfId="261" xr:uid="{AFA23F33-08B8-44B2-93D6-911E07633796}"/>
    <cellStyle name="Percent" xfId="262" xr:uid="{43F868C5-3072-4580-96A1-5B428CFD3F86}"/>
    <cellStyle name="Porcentaje" xfId="9" builtinId="5"/>
    <cellStyle name="Porcentaje 2" xfId="263" xr:uid="{9B8F3864-625E-4811-AC4A-77E37AF01849}"/>
    <cellStyle name="Porcentaje 2 2" xfId="296" xr:uid="{D58B6C32-986D-4087-9BE2-749037A5E516}"/>
    <cellStyle name="Porcentaje 3" xfId="118" xr:uid="{54D0C32B-3124-4A4B-BCBE-459ABF1FF9D8}"/>
    <cellStyle name="Porcentaje 4" xfId="264" xr:uid="{BA565F56-6410-4F49-B23B-DC40CD3095AA}"/>
    <cellStyle name="Porcentaje 5" xfId="265" xr:uid="{437207D6-2E2E-4393-A112-55568A998700}"/>
    <cellStyle name="Porcentaje 5 2" xfId="266" xr:uid="{EA865B4A-C8C6-4931-8624-F6C38D722D5A}"/>
    <cellStyle name="Porcentaje 6" xfId="280" xr:uid="{3E8BC3FB-87FE-4F3C-9F1C-D16BCBDC4461}"/>
    <cellStyle name="Porcentaje 7" xfId="12" xr:uid="{BC661D03-4DCF-4224-BD1A-281F18B11437}"/>
    <cellStyle name="Porcentaje 8" xfId="293" xr:uid="{AC3D1C36-1D79-4FBD-A755-60CBFF27F2FF}"/>
    <cellStyle name="Porcentual 2" xfId="119" xr:uid="{580232E9-722A-4EF2-86E4-88FF6422023F}"/>
    <cellStyle name="Porcentual 2 10" xfId="120" xr:uid="{270CCA0B-A9BA-41ED-871B-2C4C8870F51E}"/>
    <cellStyle name="Porcentual 2 10 2" xfId="121" xr:uid="{7A923067-16C1-4D0E-8340-0EE0B251109C}"/>
    <cellStyle name="Porcentual 2 11" xfId="122" xr:uid="{0E9AC410-9BB2-42CF-BE49-2CD193C6DE13}"/>
    <cellStyle name="Porcentual 2 12" xfId="123" xr:uid="{85ACD4D9-1E72-4359-8A31-314EDACC4F83}"/>
    <cellStyle name="Porcentual 2 2" xfId="124" xr:uid="{E84C16D6-B754-4A0B-8EFF-C27651468856}"/>
    <cellStyle name="Porcentual 2 3" xfId="125" xr:uid="{4589DD08-57E3-4E48-9A8A-B1DF040579AD}"/>
    <cellStyle name="Porcentual 2 4" xfId="126" xr:uid="{8EC8C7D1-F982-4557-9DD6-A8C5B587C91A}"/>
    <cellStyle name="Porcentual 2 5" xfId="127" xr:uid="{86E5954B-10A3-4A34-9153-6067AD6213A0}"/>
    <cellStyle name="Porcentual 2 6" xfId="128" xr:uid="{A7EE20E4-CC46-4192-87B3-7C7D8E6C8FA4}"/>
    <cellStyle name="Porcentual 2 7" xfId="129" xr:uid="{BBC6636B-3FE4-4E02-BE5A-FE4985776CD5}"/>
    <cellStyle name="Porcentual 2 8" xfId="130" xr:uid="{A79F6D75-4DFC-4A9C-AA23-CD301B65C04C}"/>
    <cellStyle name="Porcentual 2 9" xfId="131" xr:uid="{F035C06D-87F1-4B50-9A3F-F6F0B6B22520}"/>
    <cellStyle name="Porcentual 3" xfId="132" xr:uid="{02F27E87-F4DD-41DE-BD01-B77B1946902C}"/>
    <cellStyle name="Porcentual 4" xfId="133" xr:uid="{DF99EF44-A102-477B-AEBD-474A2AACE2AE}"/>
    <cellStyle name="Porcentual 4 2" xfId="134" xr:uid="{4D8CC334-07A9-4E40-8929-2DA8028075ED}"/>
    <cellStyle name="Porcentual 5" xfId="135" xr:uid="{AFFAE23A-02BC-4D60-ABFF-EC148266F409}"/>
    <cellStyle name="Porcentual 5 2" xfId="267" xr:uid="{77C11B9A-7073-4307-BE88-205196769BAC}"/>
    <cellStyle name="Porcentual 6" xfId="136" xr:uid="{456A91A7-AEC8-4445-825D-364A716BE6C9}"/>
    <cellStyle name="Porcentual 6 2" xfId="137" xr:uid="{1098EA86-5A5C-4128-BD42-23B9C3CC9337}"/>
    <cellStyle name="Porcentual 7" xfId="138" xr:uid="{E36CE75B-7EF9-45BA-9D28-E35FF6ABF6B5}"/>
    <cellStyle name="Porcentual 8" xfId="150" xr:uid="{22980788-D76A-4654-9C23-43616522AEB0}"/>
    <cellStyle name="resaltado" xfId="268" xr:uid="{2C8CF763-8C79-423C-97F5-4C0F2A981CC4}"/>
    <cellStyle name="Salida 2" xfId="139" xr:uid="{E44C986B-2CE6-4A57-90E9-269105F88F16}"/>
    <cellStyle name="Salida 3" xfId="269" xr:uid="{D0EB6871-9112-434E-BD87-1D5D30249BEF}"/>
    <cellStyle name="Texto de advertencia 2" xfId="140" xr:uid="{5A4660AB-61F6-427E-850D-072E3923E49F}"/>
    <cellStyle name="Texto de advertencia 3" xfId="270" xr:uid="{8435E925-C6BF-4925-8543-DDA84A44F587}"/>
    <cellStyle name="Texto explicativo 2" xfId="141" xr:uid="{0BED9113-BDE1-4C8C-8F24-9BEE797A2BF4}"/>
    <cellStyle name="Texto explicativo 3" xfId="271" xr:uid="{FA61F65F-8E7A-4FAC-B166-D506D1A4D5E4}"/>
    <cellStyle name="Título 1 2" xfId="142" xr:uid="{134F67DB-2601-4BF8-A362-19CE342B2982}"/>
    <cellStyle name="Título 1 3" xfId="272" xr:uid="{E4284A70-3EBD-4182-8D84-3CAF55BAB7C1}"/>
    <cellStyle name="Título 2 2" xfId="143" xr:uid="{A482ACB3-C725-47C4-8096-95464EEB353E}"/>
    <cellStyle name="Título 2 3" xfId="273" xr:uid="{C5D89117-6D52-4770-A864-F2F16844C9EC}"/>
    <cellStyle name="Título 3 2" xfId="144" xr:uid="{CFDD76C7-FD99-4F5B-9550-D2EFD7CFC548}"/>
    <cellStyle name="Título 3 3" xfId="274" xr:uid="{3534333A-8C7C-454F-A595-810B10F607D3}"/>
    <cellStyle name="Título 4" xfId="145" xr:uid="{E54D5FDB-ED78-4C6F-AFD1-FB62710991D5}"/>
    <cellStyle name="Título 5" xfId="275" xr:uid="{26D70A9B-C1B4-4F89-8C1F-C9D744E7CB3F}"/>
    <cellStyle name="Total" xfId="24" builtinId="25"/>
    <cellStyle name="Total 2" xfId="147" xr:uid="{513A2632-6A7C-47D3-9686-EAF2AFC3F0EE}"/>
    <cellStyle name="Total 3" xfId="276" xr:uid="{2E8E9596-2806-44FE-B0A3-B33843483DAC}"/>
    <cellStyle name="Total 4" xfId="146" xr:uid="{D65C5D2C-E4DD-486B-9B77-F30340078178}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75" formatCode="&quot;$&quot;\ 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6" formatCode="_-&quot;$&quot;\ * #,##0_-;\-&quot;$&quot;\ * #,##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numFmt numFmtId="176" formatCode="_-&quot;$&quot;\ * #,##0_-;\-&quot;$&quot;\ * #,##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75" formatCode="&quot;$&quot;\ 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6" formatCode="_-&quot;$&quot;\ * #,##0_-;\-&quot;$&quot;\ * #,##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75" formatCode="&quot;$&quot;\ 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6" formatCode="_-&quot;$&quot;\ * #,##0_-;\-&quot;$&quot;\ * #,##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textRotation="0" indent="0" justifyLastLine="0" shrinkToFit="0" readingOrder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numFmt numFmtId="167" formatCode="&quot;$&quot;\ #,##0.00"/>
      <alignment horizontal="righ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alignment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numFmt numFmtId="167" formatCode="&quot;$&quot;\ #,##0.00"/>
      <alignment horizontal="righ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alignment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numFmt numFmtId="167" formatCode="&quot;$&quot;\ #,##0.00"/>
      <alignment horizontal="righ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alignment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5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E34E85EB-895B-4C09-B8E3-BAAEAD44D9B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9D71D44-7B4D-4ECD-BD3D-A573D6F676F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44FC8E2-A798-4365-A2DD-48779169683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E641247-2546-4A36-A377-7466C80F299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4191F7C-F515-4099-BA07-FE9C7A5A312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C1C8C692-46D2-435E-A920-17935E3C21C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B8300CD-3AF3-456B-8CA6-9E148F8AC47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DB72C63-9715-4CC8-92A3-4080EB698DB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7F76374-B197-410C-A94F-EF8ADFC5DED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F855792-28F3-4EA0-A8A6-6A3971ED00F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8CEA30C-806B-4F3D-A476-A37A68A5169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BAEB776-D0B0-471E-BE73-FD60F1C4259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5E1EF436-DA37-448D-96F7-9B3F2E8B219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9ED6001-0B0E-4D7E-9EB2-3D0682886AC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EEC5E3A1-4311-489C-B06C-DDFB4F7359C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94C64AD-5432-4013-8EEC-4CEC04A3ABB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408213</xdr:colOff>
      <xdr:row>0</xdr:row>
      <xdr:rowOff>190500</xdr:rowOff>
    </xdr:from>
    <xdr:to>
      <xdr:col>6</xdr:col>
      <xdr:colOff>992786</xdr:colOff>
      <xdr:row>2</xdr:row>
      <xdr:rowOff>96257</xdr:rowOff>
    </xdr:to>
    <xdr:sp macro="" textlink="">
      <xdr:nvSpPr>
        <xdr:cNvPr id="2" name="4 Cuadro de texto">
          <a:extLst>
            <a:ext uri="{FF2B5EF4-FFF2-40B4-BE49-F238E27FC236}">
              <a16:creationId xmlns:a16="http://schemas.microsoft.com/office/drawing/2014/main" id="{1176460C-ACE3-4600-906D-9B0F407CC548}"/>
            </a:ext>
          </a:extLst>
        </xdr:cNvPr>
        <xdr:cNvSpPr txBox="1"/>
      </xdr:nvSpPr>
      <xdr:spPr>
        <a:xfrm>
          <a:off x="1871253" y="182880"/>
          <a:ext cx="3251573" cy="279137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es-E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</a:t>
          </a:r>
          <a:r>
            <a:rPr lang="es-ES" sz="1000" b="1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DEPARTAMENTO DEL TOLIMA</a:t>
          </a:r>
          <a:r>
            <a:rPr lang="es-ES" sz="100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ES" sz="1000" b="1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</a:t>
          </a:r>
        </a:p>
        <a:p>
          <a:pPr algn="ctr">
            <a:spcAft>
              <a:spcPts val="0"/>
            </a:spcAft>
          </a:pPr>
          <a:r>
            <a:rPr lang="es-ES" sz="1000" b="1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ALCALDÍA DE RIOBLANCO</a:t>
          </a:r>
          <a:r>
            <a:rPr lang="es-ES" sz="1000" b="1" i="0" u="none" strike="noStrik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endParaRPr lang="es-ES" sz="1000" b="1" i="0" u="none" strike="noStrike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="1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NIT. </a:t>
          </a:r>
          <a:r>
            <a:rPr lang="es-ES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890702040-7</a:t>
          </a:r>
          <a:endParaRPr lang="es-CO" sz="1000" b="1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>
            <a:spcAft>
              <a:spcPts val="0"/>
            </a:spcAft>
          </a:pPr>
          <a:r>
            <a:rPr lang="es-CO" sz="1000" b="1">
              <a:effectLst/>
              <a:latin typeface="Arial" panose="020B060402020202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SECRETARIA DE PLANEACION E INFRAESTRUCTURA</a:t>
          </a:r>
        </a:p>
        <a:p>
          <a:pPr algn="ctr">
            <a:spcAft>
              <a:spcPts val="0"/>
            </a:spcAft>
          </a:pPr>
          <a:r>
            <a:rPr lang="es-CO" sz="1400" b="1" i="1">
              <a:effectLst/>
              <a:latin typeface="Segoe UI Historic" panose="020B0502040204020203" pitchFamily="34" charset="0"/>
              <a:ea typeface="Times New Roman" panose="02020603050405020304" pitchFamily="18" charset="0"/>
            </a:rPr>
            <a:t> 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oneCellAnchor>
    <xdr:from>
      <xdr:col>0</xdr:col>
      <xdr:colOff>492919</xdr:colOff>
      <xdr:row>0</xdr:row>
      <xdr:rowOff>153987</xdr:rowOff>
    </xdr:from>
    <xdr:ext cx="2043729" cy="789901"/>
    <xdr:pic>
      <xdr:nvPicPr>
        <xdr:cNvPr id="3" name="image3.png">
          <a:extLst>
            <a:ext uri="{FF2B5EF4-FFF2-40B4-BE49-F238E27FC236}">
              <a16:creationId xmlns:a16="http://schemas.microsoft.com/office/drawing/2014/main" id="{E905F8F2-637A-420D-A0EA-843CD30F982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492919" y="153987"/>
          <a:ext cx="2043729" cy="789901"/>
        </a:xfrm>
        <a:prstGeom prst="rect">
          <a:avLst/>
        </a:prstGeom>
        <a:ln/>
      </xdr:spPr>
    </xdr:pic>
    <xdr:clientData/>
  </xdr:oneCellAnchor>
  <xdr:oneCellAnchor>
    <xdr:from>
      <xdr:col>8</xdr:col>
      <xdr:colOff>1031082</xdr:colOff>
      <xdr:row>0</xdr:row>
      <xdr:rowOff>85725</xdr:rowOff>
    </xdr:from>
    <xdr:ext cx="1092199" cy="922972"/>
    <xdr:pic>
      <xdr:nvPicPr>
        <xdr:cNvPr id="4" name="image3.png">
          <a:extLst>
            <a:ext uri="{FF2B5EF4-FFF2-40B4-BE49-F238E27FC236}">
              <a16:creationId xmlns:a16="http://schemas.microsoft.com/office/drawing/2014/main" id="{11D22232-865F-4C10-B343-16D173F2769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586062" y="85725"/>
          <a:ext cx="1092199" cy="922972"/>
        </a:xfrm>
        <a:prstGeom prst="rect">
          <a:avLst/>
        </a:prstGeom>
        <a:ln/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220980</xdr:colOff>
      <xdr:row>0</xdr:row>
      <xdr:rowOff>62978</xdr:rowOff>
    </xdr:from>
    <xdr:to>
      <xdr:col>3</xdr:col>
      <xdr:colOff>775063</xdr:colOff>
      <xdr:row>0</xdr:row>
      <xdr:rowOff>774774</xdr:rowOff>
    </xdr:to>
    <xdr:pic>
      <xdr:nvPicPr>
        <xdr:cNvPr id="6" name="image3.png">
          <a:extLst>
            <a:ext uri="{FF2B5EF4-FFF2-40B4-BE49-F238E27FC236}">
              <a16:creationId xmlns:a16="http://schemas.microsoft.com/office/drawing/2014/main" id="{50678656-357A-4C3E-9923-8C983A54EBE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548640" y="62978"/>
          <a:ext cx="2141220" cy="711796"/>
        </a:xfrm>
        <a:prstGeom prst="rect">
          <a:avLst/>
        </a:prstGeom>
        <a:ln/>
      </xdr:spPr>
    </xdr:pic>
    <xdr:clientData/>
  </xdr:twoCellAnchor>
  <xdr:twoCellAnchor editAs="oneCell">
    <xdr:from>
      <xdr:col>3</xdr:col>
      <xdr:colOff>2926080</xdr:colOff>
      <xdr:row>0</xdr:row>
      <xdr:rowOff>53340</xdr:rowOff>
    </xdr:from>
    <xdr:to>
      <xdr:col>3</xdr:col>
      <xdr:colOff>3916680</xdr:colOff>
      <xdr:row>0</xdr:row>
      <xdr:rowOff>834167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B98ADABF-462F-4F87-82C2-76798635123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4046220" y="53340"/>
          <a:ext cx="990600" cy="780827"/>
        </a:xfrm>
        <a:prstGeom prst="rect">
          <a:avLst/>
        </a:prstGeom>
        <a:ln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61F187C-BC68-4328-8232-C6499946B6E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CD94B20-11AF-40F9-AB88-7AC924830A1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3E9E6C2-BA96-4F53-AE07-B55FF89DE64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B9521FA-989C-49A2-B8FF-35A382C3DB7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8A5A814D-489E-4F68-BAAA-40AC90820C1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3E9A23E-444E-4BCF-BEA4-6D202876263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1DFE74C-658D-4C34-96DD-FD0EE1C28BB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88C5924-F979-4D43-A673-99D7D33DB39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2C326BE-D6E3-4BB3-AEB8-DC1CC0055CF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D96AD2C-5034-4801-99FD-B345CCC15BC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4C0BF40-EFF9-4BBC-B349-1E13D7864B0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2016B35-E305-4216-8FD1-43CB0B14683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D961EBD-CAB5-44AA-9B2C-145BDCF65A7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1587464-61CF-4EFD-BDFA-7B8A19ECA9C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03F7311-2596-4C30-AED2-A820E05C8DC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13130BD-2791-4CC9-BB5C-A211A5584BB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54FB3F5-E579-4B99-828B-0BEC9A171CD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FAB0781-A818-40C1-8535-2F358D1BC38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DFE7672-A9B4-4EB6-AC64-1ACADA56B44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CC00FCE7-B5EB-4AA0-A7C5-7C5A2E56E0E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97A9CF1-561E-471C-8DD5-D442372BAF0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26AE609-D33F-405F-B388-5E8B3FD16E2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FADCD62-7550-4E28-9D63-10305A0E2B1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962901C-AABE-4D4D-A91D-D07C0BF4249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FFF2DE8-586D-4892-9B1A-54556E5183D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AE270AA-9BEC-4921-BB34-FB3B7A26433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82C2B75-90A3-4292-99A5-EC7AFBE31B6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F1F2FF1-8264-43CD-A594-07E33B37A9B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449CF01-8143-4D99-9AE6-806C2A5E8DF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E44C89F-543E-474D-B011-07E414A1B34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117F391-7DD5-4E86-B018-D92A61CA76D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94DE482-F8C0-4932-9217-06503B355DC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0DB9886-C68A-4568-B4C8-F0F16EA7026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7AE209E-08BB-434D-A4D5-D4146F621F7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F4F815B8-7CE2-433D-BCC5-9D32954303D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8D209FE-CF2B-4CFC-B68D-1E13E964040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DC04EC8-B615-438E-AE85-EBF16AD0CEC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8043CB8-56E3-42A9-A537-7EF471348EA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3B645EC-51FE-44A9-800A-CE65AE18C9E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678BEF5-2749-41B4-A75E-34B5584E737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9990E71-16EE-4AF5-9EE1-44F7A91C292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52F2DDA-FD7C-41E9-B950-535B1BE4126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1AAF948-7F21-4533-8C7D-13EC5BC4275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C1E945E-7C1D-44E0-9381-300765E3392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9A7E47D-B0DF-4F55-80DD-450F7FEA0E5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584AC36-EBBA-4867-81BB-BC4E81F35AD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65C21B6-3164-48D6-A378-F9FB4184C06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3379597-8ABB-48A0-A679-BB11EFC4497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8E53CBD-F901-4126-A66C-5B28F55D014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8497A3A-1348-4FE1-A277-2F6B30779E6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D7A9DD6-F199-4680-B550-2823E231FD3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3CD1B4F-43D7-49A0-8964-F9596BACF18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4488C0C-831A-4885-8BF3-FFEA00F6C19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4D1FE77-D7F9-4760-A812-E541062697F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B4D6C4E-3681-48FC-9D07-9B7965DE461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CE16FCED-8A26-476A-9A07-6033A4E3F91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FE11F6F5-083E-4DFD-83CC-2602A0190B2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241A990-7E67-4225-B531-00FE87280E0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882503BE-FAD2-4E39-882E-DCCF6C1A014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63D571B-5389-457A-BF33-56813629373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23DE70C-958E-406E-B2B5-1405CA5DF8F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1595F2E-C71B-4E2F-9F01-E7B6B14A06D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753728B-170E-4585-B9A2-37C9F61242D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D5A5E00-6ADA-4623-8CB3-D260F0D7528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56782CB-885E-4361-867D-E2C9B3B78CC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ED64130-F684-430B-8996-3278589ADEC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F51471D7-4346-4893-92BA-3DDE126BA13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09AEF02-BA4E-498F-AA9B-ADAD9F477B6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62048BD-B0BB-4E12-B698-A163A6EEF98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434E8767-8AC3-4E86-BCF1-B04AEE76719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D391B61-59DC-4E4D-82D4-5A5D781C14B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F1D4134-B388-4EBE-946F-B5CD5659D40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15788FF-FFC3-4D33-ACA9-D81140F6222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72228A5-4390-43C2-A86F-5166FF99B3E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E3BCE9BE-046F-4AA3-B83D-5F11CF2C6DA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29476DE-0789-4475-AAC1-8531FF6DE58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3DA0BCE-D7D6-409A-A818-F5212281079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B584C51-C2A0-4B50-8D3D-F0023340728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3AF6D5B-DA6A-481E-8746-371DE1C1EC4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7B8FE44-D72E-4DAB-B6CE-76430BC8919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F05C0F8-BAF1-48D3-BFDE-FCF68C5C627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5221E61-3189-454C-AF18-00C5BEA8375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B1FF258-FEDC-4FA1-8EAE-0D31021B1F3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0132D2A-C7EC-4B20-82EB-EB7370D6E16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404812</xdr:colOff>
      <xdr:row>1</xdr:row>
      <xdr:rowOff>79376</xdr:rowOff>
    </xdr:from>
    <xdr:to>
      <xdr:col>1</xdr:col>
      <xdr:colOff>372532</xdr:colOff>
      <xdr:row>4</xdr:row>
      <xdr:rowOff>292101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06DA65-09EF-49EB-A334-0A29F1F7E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" y="279401"/>
          <a:ext cx="69162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889000</xdr:colOff>
      <xdr:row>1</xdr:row>
      <xdr:rowOff>119063</xdr:rowOff>
    </xdr:from>
    <xdr:to>
      <xdr:col>7</xdr:col>
      <xdr:colOff>822255</xdr:colOff>
      <xdr:row>4</xdr:row>
      <xdr:rowOff>237596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D65BA5-198B-4D20-A6D6-DB95812B7FF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7275" y="319088"/>
          <a:ext cx="933380" cy="69955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404812</xdr:colOff>
      <xdr:row>1</xdr:row>
      <xdr:rowOff>79376</xdr:rowOff>
    </xdr:from>
    <xdr:to>
      <xdr:col>1</xdr:col>
      <xdr:colOff>372532</xdr:colOff>
      <xdr:row>4</xdr:row>
      <xdr:rowOff>292101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2158E3-A2A0-44B7-B4A9-064D6A7DB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" y="279401"/>
          <a:ext cx="691620" cy="78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889000</xdr:colOff>
      <xdr:row>1</xdr:row>
      <xdr:rowOff>119063</xdr:rowOff>
    </xdr:from>
    <xdr:to>
      <xdr:col>7</xdr:col>
      <xdr:colOff>822255</xdr:colOff>
      <xdr:row>4</xdr:row>
      <xdr:rowOff>237596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411FEEA-24BA-4A3E-BF39-06401B1C26D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9700" y="319088"/>
          <a:ext cx="933380" cy="6900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404812</xdr:colOff>
      <xdr:row>1</xdr:row>
      <xdr:rowOff>79376</xdr:rowOff>
    </xdr:from>
    <xdr:to>
      <xdr:col>1</xdr:col>
      <xdr:colOff>372532</xdr:colOff>
      <xdr:row>4</xdr:row>
      <xdr:rowOff>292101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4CAB91-E72F-4137-9889-8C749EFED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" y="279401"/>
          <a:ext cx="691620" cy="78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889000</xdr:colOff>
      <xdr:row>1</xdr:row>
      <xdr:rowOff>119063</xdr:rowOff>
    </xdr:from>
    <xdr:to>
      <xdr:col>7</xdr:col>
      <xdr:colOff>822255</xdr:colOff>
      <xdr:row>4</xdr:row>
      <xdr:rowOff>237596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91CD9CF-D9E6-4BE2-8D74-BF4F1E1E14E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9700" y="319088"/>
          <a:ext cx="933380" cy="6900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152400</xdr:rowOff>
    </xdr:from>
    <xdr:to>
      <xdr:col>10</xdr:col>
      <xdr:colOff>246823</xdr:colOff>
      <xdr:row>18</xdr:row>
      <xdr:rowOff>86490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4827F7-089E-4438-AE7D-88D6C7F98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100" y="342900"/>
          <a:ext cx="7066723" cy="317259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20</xdr:row>
      <xdr:rowOff>66503</xdr:rowOff>
    </xdr:from>
    <xdr:to>
      <xdr:col>9</xdr:col>
      <xdr:colOff>581025</xdr:colOff>
      <xdr:row>37</xdr:row>
      <xdr:rowOff>153264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07CB0F-8ABE-4135-88DD-656F65F47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9150" y="3876503"/>
          <a:ext cx="6619875" cy="3325261"/>
        </a:xfrm>
        <a:prstGeom prst="rect">
          <a:avLst/>
        </a:prstGeom>
      </xdr:spPr>
    </xdr:pic>
    <xdr:clientData/>
  </xdr:twoCellAnchor>
  <xdr:twoCellAnchor editAs="oneCell">
    <xdr:from>
      <xdr:col>1</xdr:col>
      <xdr:colOff>100982</xdr:colOff>
      <xdr:row>39</xdr:row>
      <xdr:rowOff>57429</xdr:rowOff>
    </xdr:from>
    <xdr:to>
      <xdr:col>9</xdr:col>
      <xdr:colOff>552450</xdr:colOff>
      <xdr:row>55</xdr:row>
      <xdr:rowOff>48442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10A2905-4731-462E-ACF1-2BA085AF2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2982" y="7486929"/>
          <a:ext cx="6547468" cy="3039013"/>
        </a:xfrm>
        <a:prstGeom prst="rect">
          <a:avLst/>
        </a:prstGeom>
      </xdr:spPr>
    </xdr:pic>
    <xdr:clientData/>
  </xdr:twoCellAnchor>
  <xdr:twoCellAnchor editAs="oneCell">
    <xdr:from>
      <xdr:col>0</xdr:col>
      <xdr:colOff>638177</xdr:colOff>
      <xdr:row>60</xdr:row>
      <xdr:rowOff>9524</xdr:rowOff>
    </xdr:from>
    <xdr:to>
      <xdr:col>10</xdr:col>
      <xdr:colOff>84439</xdr:colOff>
      <xdr:row>80</xdr:row>
      <xdr:rowOff>76909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EAA2DD0-5FAC-400D-B78A-0BEE2F832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8177" y="11439524"/>
          <a:ext cx="7066262" cy="387738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25</xdr:col>
      <xdr:colOff>230121</xdr:colOff>
      <xdr:row>27</xdr:row>
      <xdr:rowOff>10218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0E20185-0367-4C7E-BD4B-159BE00FE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82000" y="190500"/>
          <a:ext cx="10898121" cy="4963218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24</xdr:col>
      <xdr:colOff>677752</xdr:colOff>
      <xdr:row>54</xdr:row>
      <xdr:rowOff>162639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77126BF-0CFE-40CD-A41F-33ABF020F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382000" y="5334000"/>
          <a:ext cx="10583752" cy="511563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25</xdr:col>
      <xdr:colOff>134858</xdr:colOff>
      <xdr:row>81</xdr:row>
      <xdr:rowOff>38797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FAA2897-C912-476D-9E07-F3A874AFB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82000" y="10477500"/>
          <a:ext cx="10802858" cy="4991797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742949</xdr:colOff>
      <xdr:row>1</xdr:row>
      <xdr:rowOff>28574</xdr:rowOff>
    </xdr:from>
    <xdr:to>
      <xdr:col>9</xdr:col>
      <xdr:colOff>714375</xdr:colOff>
      <xdr:row>45</xdr:row>
      <xdr:rowOff>61683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4C32DE-BCBB-483F-8FF0-D751280B8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949" y="219074"/>
          <a:ext cx="6829426" cy="841510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48</xdr:row>
      <xdr:rowOff>3211</xdr:rowOff>
    </xdr:from>
    <xdr:to>
      <xdr:col>9</xdr:col>
      <xdr:colOff>609600</xdr:colOff>
      <xdr:row>89</xdr:row>
      <xdr:rowOff>103812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F3442AD-1F5D-46B7-975C-BB193153E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0100" y="9147211"/>
          <a:ext cx="6667500" cy="7911101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761999</xdr:colOff>
      <xdr:row>91</xdr:row>
      <xdr:rowOff>57150</xdr:rowOff>
    </xdr:from>
    <xdr:to>
      <xdr:col>9</xdr:col>
      <xdr:colOff>462216</xdr:colOff>
      <xdr:row>137</xdr:row>
      <xdr:rowOff>90903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E2F515F-4899-4ECE-89C5-DE2194BBE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1999" y="17392650"/>
          <a:ext cx="6558217" cy="87967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03-Marzo/Parque%20Biosaludable/PRESUPUESTO%20PARQUE%20BIOSALUDABLE.xlsx" TargetMode="External"/><Relationship Id="rId2" Type="http://schemas.openxmlformats.org/officeDocument/2006/relationships/externalLinkPath" Target="file:///D:\Trabajo%20Ing%20Miguel%20Capera\Ing%20Miguel%20Capera%20-%20Rioblanco%202026\Presupuesto\03-Marzo\Parque%20Biosaludable\PRESUPUESTO%20PARQUE%20BIOSALUDABLE.xlsx" TargetMode="External"/><Relationship Id="rId1" Type="http://schemas.openxmlformats.org/officeDocument/2006/relationships/externalLinkPath" Target="/Trabajo%20Ing%20Miguel%20Capera/Ing%20Miguel%20Capera%20-%20Rioblanco%202026/Presupuesto/03-Marzo/Parque%20Biosaludable/PRESUPUESTO%20PARQUE%20BIOSALUDAB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IU"/>
      <sheetName val="LIST"/>
      <sheetName val="REND"/>
      <sheetName val="EQUI"/>
      <sheetName val="TRANS"/>
      <sheetName val="INS"/>
      <sheetName val="P-0015"/>
      <sheetName val="CMR-012"/>
      <sheetName val="CMR-011"/>
      <sheetName val="CMR-010"/>
      <sheetName val="CMR-009"/>
      <sheetName val="CMR-008"/>
      <sheetName val="PTA-021"/>
      <sheetName val="PTA-020"/>
      <sheetName val="PTA-019"/>
      <sheetName val="PTA-018"/>
      <sheetName val="MO"/>
      <sheetName val="M. CANT."/>
      <sheetName val="PTO"/>
      <sheetName val="PTA-017"/>
      <sheetName val="PTA-016"/>
      <sheetName val="HS-014"/>
      <sheetName val="CMR-007"/>
      <sheetName val="CMR-006"/>
      <sheetName val="MED-003"/>
      <sheetName val="LF-001"/>
      <sheetName val="MED-002"/>
      <sheetName val="MED-001"/>
      <sheetName val="CIE-008"/>
      <sheetName val="CIE-007"/>
      <sheetName val="CIE-006"/>
      <sheetName val="CIE-005"/>
      <sheetName val="CIE-004"/>
      <sheetName val="CIE-003"/>
      <sheetName val="CIE-002"/>
      <sheetName val="CIE-001"/>
      <sheetName val="HS-013"/>
      <sheetName val="HS-012"/>
      <sheetName val="HS-011"/>
      <sheetName val="HS-010"/>
      <sheetName val="HS-009"/>
      <sheetName val="HS-008"/>
      <sheetName val="HS-007"/>
      <sheetName val="HS-006"/>
      <sheetName val="HS-005"/>
      <sheetName val="HS-004"/>
      <sheetName val="HS-003"/>
      <sheetName val="HS-002"/>
      <sheetName val="HS-001"/>
      <sheetName val="ELC-009"/>
      <sheetName val="ELC-008"/>
      <sheetName val="ELC-007"/>
      <sheetName val="ELC-006"/>
      <sheetName val="ELC-005"/>
      <sheetName val="ELC-004"/>
      <sheetName val="ELC-003"/>
      <sheetName val="CMR-005"/>
      <sheetName val="CMR-004"/>
      <sheetName val="CMR-002"/>
      <sheetName val="CMR-001"/>
      <sheetName val="PTA-015"/>
      <sheetName val="PTA-014"/>
      <sheetName val="PTA-013"/>
      <sheetName val="PTA-012"/>
      <sheetName val="PTA-011"/>
      <sheetName val="PTA-010"/>
      <sheetName val="PTA-009"/>
      <sheetName val="PTA-008"/>
      <sheetName val="PTA-007"/>
      <sheetName val="PTA-006"/>
      <sheetName val="PTA-005"/>
      <sheetName val="PTA-004"/>
      <sheetName val="PTA-003"/>
      <sheetName val="PTA-002"/>
      <sheetName val="PTA-001"/>
      <sheetName val="P-0014"/>
      <sheetName val="P-0013"/>
      <sheetName val="P-0012"/>
      <sheetName val="P-0011"/>
      <sheetName val="P-0010"/>
      <sheetName val="P-0009"/>
      <sheetName val="P-0008"/>
      <sheetName val="P-0007"/>
      <sheetName val="P-0006"/>
      <sheetName val="P-0005"/>
      <sheetName val="P-0004"/>
      <sheetName val="P-0003"/>
      <sheetName val="P-0002"/>
      <sheetName val="P-0001"/>
      <sheetName val="COT. IBA"/>
      <sheetName val="COT. RIO"/>
    </sheetNames>
    <sheetDataSet>
      <sheetData sheetId="0"/>
      <sheetData sheetId="1">
        <row r="3">
          <cell r="B3" t="str">
            <v>DEMOLICIÓN PLACA e= 0.10m INCLUYE TRANSPORTE</v>
          </cell>
          <cell r="C3" t="str">
            <v>M2</v>
          </cell>
        </row>
        <row r="4">
          <cell r="B4" t="str">
            <v>DEMOLICIÓN MURO LADRILLO HASTA 15 CM ANCHO, INCLUYE RETIRO DE ESCOMBROS A 5 KM</v>
          </cell>
          <cell r="C4" t="str">
            <v>M2</v>
          </cell>
        </row>
        <row r="5">
          <cell r="B5" t="str">
            <v>DESMONTE DE MOTOBOMBAS, TABLEROS, Y ELEMENTOS ELECTRONICOS.</v>
          </cell>
          <cell r="C5" t="str">
            <v>GLOBAL</v>
          </cell>
        </row>
        <row r="6">
          <cell r="B6" t="str">
            <v>RETIRO DE ADOQUIN DEFECTUOSO Y EN MAL ESTADO</v>
          </cell>
          <cell r="C6" t="str">
            <v>M2</v>
          </cell>
        </row>
        <row r="7">
          <cell r="B7" t="str">
            <v>EXCAVACIÓN MANUAL EN MATERIAL COMÚN 0-2 MTS</v>
          </cell>
          <cell r="C7" t="str">
            <v>M3</v>
          </cell>
        </row>
        <row r="8">
          <cell r="B8" t="str">
            <v xml:space="preserve">RELLENO EN ARENA </v>
          </cell>
          <cell r="C8" t="str">
            <v>M3</v>
          </cell>
        </row>
        <row r="9">
          <cell r="B9" t="str">
            <v>DESMONTE DE APARATOS SANITARIOS</v>
          </cell>
          <cell r="C9" t="str">
            <v>UND</v>
          </cell>
        </row>
        <row r="10">
          <cell r="B10" t="str">
            <v>LOCALIZACIÓN Y REPLANTEO (AREA)</v>
          </cell>
          <cell r="C10" t="str">
            <v>M2</v>
          </cell>
        </row>
        <row r="11">
          <cell r="B11" t="str">
            <v>DEMOLICIÓN DE PLACA CONCRETO e=0.15m INCLUYE TRANSPORTE</v>
          </cell>
          <cell r="C11" t="str">
            <v>M2</v>
          </cell>
        </row>
        <row r="12">
          <cell r="B12" t="str">
            <v>DEMOLICIÓN DE MURO EN CONCRETO REFORZADO INCLUYE TRANSPORTE</v>
          </cell>
          <cell r="C12" t="str">
            <v>M2</v>
          </cell>
        </row>
        <row r="13">
          <cell r="B13" t="str">
            <v>EXCAVACIÓN MECANICA EN MATERIAL COMÚN</v>
          </cell>
          <cell r="C13" t="str">
            <v>M3</v>
          </cell>
        </row>
        <row r="14">
          <cell r="B14" t="str">
            <v>RELLENO EN RECEBO COMPACTADO</v>
          </cell>
          <cell r="C14" t="str">
            <v>M3</v>
          </cell>
        </row>
        <row r="15">
          <cell r="B15" t="str">
            <v>DESCAPOTE MANUAL DE TERRENO E=0,15 CM, INCLUYE RETIRO</v>
          </cell>
          <cell r="C15" t="str">
            <v>M2</v>
          </cell>
        </row>
        <row r="16">
          <cell r="B16" t="str">
            <v>DESMONTE DE CUBIERTA EXISTENTE</v>
          </cell>
          <cell r="C16" t="str">
            <v>M2</v>
          </cell>
        </row>
        <row r="17">
          <cell r="B17" t="str">
            <v>LAVADO DE SUPERFICIE DE CANCHA CON ACIDO MURIATICO 10%</v>
          </cell>
          <cell r="C17" t="str">
            <v>M2</v>
          </cell>
        </row>
        <row r="20">
          <cell r="B20" t="str">
            <v>PISOS CERAMICOS, TERMINADOS Y ACABADOS (PTA)</v>
          </cell>
        </row>
        <row r="21">
          <cell r="B21" t="str">
            <v>ADOQUIN RECTANGULAR ADOP-A O SIMILAR COLOR GRIS (20 X10X 8)</v>
          </cell>
          <cell r="C21" t="str">
            <v>M2</v>
          </cell>
        </row>
        <row r="22">
          <cell r="B22" t="str">
            <v>ADOQUIN INDUPISO PIZARRA O SIMILAR COLOR ARENA (20X20X8)</v>
          </cell>
          <cell r="C22" t="str">
            <v>M2</v>
          </cell>
        </row>
        <row r="23">
          <cell r="B23" t="str">
            <v>PINTURA DE SILLAS REDONDAS DIAMETRO 50CM H=60CM TIPO 1 EXTERIOR COLOR BLANCO (INCLUYE RESANE)</v>
          </cell>
          <cell r="C23" t="str">
            <v>UND</v>
          </cell>
        </row>
        <row r="24">
          <cell r="B24" t="str">
            <v>PINTURA DE MATERA RECTANGULAR 40X60X30 TIPO 1 EXTERIOR COLOR BLANCO (INCLUYE RESANE)</v>
          </cell>
          <cell r="C24" t="str">
            <v>UND</v>
          </cell>
        </row>
        <row r="25">
          <cell r="B25" t="str">
            <v>MURO EN BLOQUE ABUJARDADO CON DOVELAS 14X19X39 PARA ALCORQUE DE ARBOL</v>
          </cell>
          <cell r="C25" t="str">
            <v>M2</v>
          </cell>
        </row>
        <row r="26">
          <cell r="B26" t="str">
            <v>ALFAGIA PREFABRICADA DE ANCHO 25CMX100CM</v>
          </cell>
          <cell r="C26" t="str">
            <v>M</v>
          </cell>
        </row>
        <row r="27">
          <cell r="B27" t="str">
            <v>CIELO RASO PVC 9 MM INCLUYE ESTRUCTURA</v>
          </cell>
          <cell r="C27" t="str">
            <v>M2</v>
          </cell>
        </row>
        <row r="28">
          <cell r="B28" t="str">
            <v xml:space="preserve">ENCHAPE EN GRES ROJO </v>
          </cell>
          <cell r="C28" t="str">
            <v>M2</v>
          </cell>
        </row>
        <row r="29">
          <cell r="B29" t="str">
            <v>PINTURA TIPO 1 INTERIOR, DOS MANOS</v>
          </cell>
          <cell r="C29" t="str">
            <v>M2</v>
          </cell>
        </row>
        <row r="30">
          <cell r="B30" t="str">
            <v>RESANE EN ESTUCO ACRILICO 100%</v>
          </cell>
          <cell r="C30" t="str">
            <v>M2</v>
          </cell>
        </row>
        <row r="31">
          <cell r="B31" t="str">
            <v>PINTURA TIPO 1 EXTERIOR 100% ACRILICA, DOS MANOS</v>
          </cell>
          <cell r="C31" t="str">
            <v>M2</v>
          </cell>
        </row>
        <row r="32">
          <cell r="B32" t="str">
            <v>POLARIZADO PARA VENTANAS PELICULA PROTECCIÓN 100% UV 2 MM</v>
          </cell>
          <cell r="C32" t="str">
            <v>M2</v>
          </cell>
        </row>
        <row r="33">
          <cell r="B33" t="str">
            <v>ENCHAPE CERAMICO 20X30 CM COLOR BLANCO (PARED)</v>
          </cell>
          <cell r="C33" t="str">
            <v>M2</v>
          </cell>
        </row>
        <row r="34">
          <cell r="B34" t="str">
            <v>PINTURA ESMALTE ELEMENTOS METALICOS (AREA)</v>
          </cell>
          <cell r="C34" t="str">
            <v>M2</v>
          </cell>
        </row>
        <row r="35">
          <cell r="B35" t="str">
            <v>PINTURA ESMALTE ELEMENTOS METALICOS (LINEAL BARANDA)</v>
          </cell>
          <cell r="C35" t="str">
            <v>M</v>
          </cell>
        </row>
        <row r="36">
          <cell r="B36" t="str">
            <v>MURAL DECORATIVO CON IDENTIFICACIÓN CULTURAL</v>
          </cell>
          <cell r="C36" t="str">
            <v>M2</v>
          </cell>
        </row>
        <row r="37">
          <cell r="B37" t="str">
            <v>RECUBRIMIENTO DE TRUFLEX ANTIDESLIZANTE DE 3 CAPAS  (UNA BASE DE CUARZO Y DOS CAPAS DE COLOR) PARA ZONA EQUIPOS BIOSALUDABLES Y PARQUE INFANTIL.</v>
          </cell>
          <cell r="C37" t="str">
            <v>M2</v>
          </cell>
        </row>
        <row r="38">
          <cell r="B38" t="str">
            <v>PINTURA ACRILICA PARA TRAFICO PESADO TIPO CANCHA Y/O PISOS SOBRE UNA BASE EN IMPRIMANTE EPOXICO DE DOS COMPONENTES, PARA DEMARCACION DE CANCHA MULTIPLE (VOLEIBOL, MICROFUTBOL Y BALONCESTO) (2 MANOS)</v>
          </cell>
          <cell r="C38" t="str">
            <v>M2</v>
          </cell>
        </row>
        <row r="39">
          <cell r="B39" t="str">
            <v>SUMINISTRO E INSTALACIÓN DE LADRILLO TOLETE 25X12X6CM</v>
          </cell>
          <cell r="C39" t="str">
            <v>M2</v>
          </cell>
        </row>
        <row r="40">
          <cell r="B40" t="str">
            <v>PAÑETE MURO 1:4   E=0.02M</v>
          </cell>
          <cell r="C40" t="str">
            <v>M2</v>
          </cell>
        </row>
        <row r="41">
          <cell r="B41" t="str">
            <v>PINTURA TIPO 1 INTERIOR, TRES MANOS</v>
          </cell>
          <cell r="C41" t="str">
            <v>M2</v>
          </cell>
        </row>
        <row r="44">
          <cell r="B44" t="str">
            <v>CONCRETOS, MORTEROS Y REFUERZOS (CMR)</v>
          </cell>
        </row>
        <row r="45">
          <cell r="B45" t="str">
            <v>ACERO DE REFUERZO 60.000 PSI</v>
          </cell>
          <cell r="C45" t="str">
            <v>KG</v>
          </cell>
        </row>
        <row r="46">
          <cell r="B46" t="str">
            <v xml:space="preserve">CONCRETO 3.000 PSI </v>
          </cell>
          <cell r="C46" t="str">
            <v>M3</v>
          </cell>
        </row>
        <row r="47">
          <cell r="B47" t="str">
            <v>SUMINISTRO E INSTALACION DE TUBERIA PETROLERA DE  20" y  10", INCLUYE ESCALERA DE ACCESO, ESTRUCTURA DE FIJACION DE LA PANTALLA Y TODOS LOS ELEMENTROS NECESARIOS PARA SU CORRECTO FUNCIONAMIENTO</v>
          </cell>
          <cell r="C47" t="str">
            <v>KG</v>
          </cell>
        </row>
        <row r="48">
          <cell r="B48" t="str">
            <v>PLACA CONCRETO 3.000 PSI E=10CM</v>
          </cell>
          <cell r="C48" t="str">
            <v>M2</v>
          </cell>
        </row>
        <row r="49">
          <cell r="B49" t="str">
            <v>CONCRETO 3.000 PSI PARA CONSTRUCCIÓN DE CANAL EN CONCRETO</v>
          </cell>
          <cell r="C49" t="str">
            <v>M3</v>
          </cell>
        </row>
        <row r="50">
          <cell r="B50" t="str">
            <v>MURO EN GAVIÓN CON MALLA DOBLE TORSIÓN CAL. 13</v>
          </cell>
          <cell r="C50" t="str">
            <v>M3</v>
          </cell>
        </row>
        <row r="51">
          <cell r="B51" t="str">
            <v xml:space="preserve">SUMINISTRO E INSTALACIÓN DE GEOTEXTIL NT1600S </v>
          </cell>
          <cell r="C51" t="str">
            <v>M2</v>
          </cell>
        </row>
        <row r="52">
          <cell r="B52" t="str">
            <v>CONSTRUCCIÓN DE SARDINEL INSITU E=0,15 M H=0,45M, CONCRETO 3.000 PSI (INCLUYE REFUERZO)</v>
          </cell>
          <cell r="C52" t="str">
            <v>M</v>
          </cell>
        </row>
        <row r="53">
          <cell r="B53" t="str">
            <v>COLUMNA CONCRETO 3.000 PSI 20X12 CM</v>
          </cell>
          <cell r="C53" t="str">
            <v>M</v>
          </cell>
        </row>
        <row r="54">
          <cell r="B54" t="str">
            <v>ZAPATA CONCRETO 3.000 PSI 120X70X30 CM</v>
          </cell>
          <cell r="C54" t="str">
            <v>UND</v>
          </cell>
        </row>
        <row r="55">
          <cell r="B55" t="str">
            <v>COLUMNA CONCRETO 3.000 PSI 30X30 CM</v>
          </cell>
          <cell r="C55" t="str">
            <v>M</v>
          </cell>
        </row>
        <row r="56">
          <cell r="B56" t="str">
            <v>ADHESIVO EPOXICO DE CONCRETO FRESCO CON CONCRETO ANTIGUO (USO ESTRUCTURAL)</v>
          </cell>
          <cell r="C56" t="str">
            <v>M2</v>
          </cell>
        </row>
        <row r="59">
          <cell r="B59" t="str">
            <v>ELECTRICIDAD Y ACCESORIOS ELECTRICOS (ELC)</v>
          </cell>
        </row>
        <row r="60">
          <cell r="B60" t="str">
            <v>SUMINISTRO E INSTALACION DE PANTALLA EXTERIO  3,9 PICH CON 15 GRADO DE 7680 HZ #500 X1000 MM CON PROCESADOR Tb40 , INCLUYE CONEXIÓN ELECTRICA, CAJA DE CONTROL Y PUESTA EN FUNCIONAMIENTO.</v>
          </cell>
          <cell r="C60" t="str">
            <v>UND</v>
          </cell>
        </row>
        <row r="61">
          <cell r="B61" t="str">
            <v>TABLERO ELECTRICO PARA INSTALACIÓN PANTALLA BIFASICO</v>
          </cell>
          <cell r="C61" t="str">
            <v>UND</v>
          </cell>
        </row>
        <row r="62">
          <cell r="B62" t="str">
            <v>RED ELECTRICA EN CABLE N°12 Y TUBO EMT 1/2" PVC</v>
          </cell>
          <cell r="C62" t="str">
            <v>M</v>
          </cell>
        </row>
        <row r="63">
          <cell r="B63" t="str">
            <v>PUNTO ELECTRICO DE CONEXIÓN DOBLE</v>
          </cell>
          <cell r="C63" t="str">
            <v>UND</v>
          </cell>
        </row>
        <row r="64">
          <cell r="B64" t="str">
            <v>PUNTO DE ILUMINACIÓN INCLUYE INTERRUPTOR, PLAFON Y BOMBILLO 50 W</v>
          </cell>
          <cell r="C64" t="str">
            <v>UND</v>
          </cell>
        </row>
        <row r="65">
          <cell r="B65" t="str">
            <v>PUNTO DE ILUMINACIÓN INCLUYE INTERRUPTOR Y LAMPARA 18W</v>
          </cell>
          <cell r="C65" t="str">
            <v>UND</v>
          </cell>
        </row>
        <row r="66">
          <cell r="B66" t="str">
            <v>CANALETA ELECTRICA 12CMX20CMX2M</v>
          </cell>
          <cell r="C66" t="str">
            <v>M</v>
          </cell>
        </row>
        <row r="67">
          <cell r="B67" t="str">
            <v>SUMINISTRO E INSTALACIÓN DE LAMPARA 18W</v>
          </cell>
          <cell r="C67" t="str">
            <v>UND</v>
          </cell>
        </row>
        <row r="68">
          <cell r="B68" t="str">
            <v>SUMINISTRO E INSTALACIÓN DE LUMINARIA EXTERIOR TIPO ROMBO SOLAR UF 20</v>
          </cell>
          <cell r="C68" t="str">
            <v>UND</v>
          </cell>
        </row>
        <row r="69">
          <cell r="B69" t="str">
            <v>HIDRAULICO Y SANITARIO (HS)</v>
          </cell>
        </row>
      </sheetData>
      <sheetData sheetId="2"/>
      <sheetData sheetId="3">
        <row r="2">
          <cell r="A2" t="str">
            <v xml:space="preserve">TALADRO DEMOLEDOR </v>
          </cell>
          <cell r="B2" t="str">
            <v>HORA</v>
          </cell>
          <cell r="C2">
            <v>50000</v>
          </cell>
          <cell r="E2">
            <v>0.2</v>
          </cell>
        </row>
        <row r="3">
          <cell r="A3" t="str">
            <v>TALADRO DEMOLEDOR ELÉCTRICO</v>
          </cell>
          <cell r="B3" t="str">
            <v>HORA</v>
          </cell>
          <cell r="C3">
            <v>50000</v>
          </cell>
          <cell r="E3">
            <v>0.2</v>
          </cell>
        </row>
        <row r="4">
          <cell r="A4" t="str">
            <v>MEZCLADORA DE CONCRETO 1 BLT</v>
          </cell>
          <cell r="B4" t="str">
            <v>HORA</v>
          </cell>
          <cell r="C4">
            <v>10000</v>
          </cell>
          <cell r="E4">
            <v>2.5</v>
          </cell>
        </row>
        <row r="5">
          <cell r="A5" t="str">
            <v>VIBRADOR DE CONCRETO</v>
          </cell>
          <cell r="B5" t="str">
            <v>HORA</v>
          </cell>
          <cell r="C5">
            <v>7000</v>
          </cell>
          <cell r="E5">
            <v>2.5</v>
          </cell>
        </row>
        <row r="6">
          <cell r="A6" t="str">
            <v>SONDA LIMPIADOR DE CAÑERIA 10 M</v>
          </cell>
          <cell r="B6" t="str">
            <v>HORA</v>
          </cell>
          <cell r="C6">
            <v>5000</v>
          </cell>
          <cell r="E6">
            <v>2</v>
          </cell>
        </row>
      </sheetData>
      <sheetData sheetId="4">
        <row r="2">
          <cell r="A2" t="str">
            <v>RETIRO DE MATERIAL HASTA 5 KM (ESCOMBRO)</v>
          </cell>
          <cell r="B2" t="str">
            <v>M3/KM</v>
          </cell>
          <cell r="C2">
            <v>5</v>
          </cell>
          <cell r="D2">
            <v>1800</v>
          </cell>
          <cell r="E2">
            <v>1.3</v>
          </cell>
        </row>
        <row r="3">
          <cell r="A3" t="str">
            <v>TRANSPORTE MATERIAL DE CANTERA (ARENA) - CUCUANA</v>
          </cell>
          <cell r="B3" t="str">
            <v>M3/KM</v>
          </cell>
          <cell r="C3">
            <v>125</v>
          </cell>
          <cell r="D3">
            <v>1800</v>
          </cell>
          <cell r="E3">
            <v>1.1000000000000001</v>
          </cell>
        </row>
        <row r="4">
          <cell r="A4" t="str">
            <v>TRANSPORTE (ADOQUIN) - IBAGUE</v>
          </cell>
          <cell r="B4" t="str">
            <v>UND/KM</v>
          </cell>
          <cell r="C4">
            <v>195</v>
          </cell>
          <cell r="D4">
            <v>5</v>
          </cell>
          <cell r="E4">
            <v>1</v>
          </cell>
        </row>
        <row r="5">
          <cell r="A5" t="str">
            <v>TRANSPORTE (BLOQUE-LADRILLO) - IBAGUE</v>
          </cell>
          <cell r="B5" t="str">
            <v>UND/KM</v>
          </cell>
          <cell r="C5">
            <v>195</v>
          </cell>
          <cell r="D5">
            <v>5</v>
          </cell>
          <cell r="E5">
            <v>1</v>
          </cell>
        </row>
        <row r="6">
          <cell r="A6" t="str">
            <v>TRANSPORTE (ACERO) - IBAGUE</v>
          </cell>
          <cell r="B6" t="str">
            <v>KG/KM</v>
          </cell>
          <cell r="C6">
            <v>195</v>
          </cell>
          <cell r="D6">
            <v>2</v>
          </cell>
          <cell r="E6">
            <v>1</v>
          </cell>
        </row>
        <row r="7">
          <cell r="A7" t="str">
            <v>TRANSPORTE TUBERIA DE 36" - IBAGUE</v>
          </cell>
          <cell r="B7" t="str">
            <v>M/KM</v>
          </cell>
          <cell r="C7">
            <v>195</v>
          </cell>
          <cell r="D7">
            <v>1800</v>
          </cell>
          <cell r="E7">
            <v>1</v>
          </cell>
        </row>
        <row r="8">
          <cell r="A8" t="str">
            <v>TRANSPORTE MATERIAL (RECEBO) - 10 KM</v>
          </cell>
          <cell r="B8" t="str">
            <v>M3/KM</v>
          </cell>
          <cell r="C8">
            <v>10</v>
          </cell>
          <cell r="D8">
            <v>1800</v>
          </cell>
          <cell r="E8">
            <v>1.3</v>
          </cell>
        </row>
        <row r="9">
          <cell r="A9" t="str">
            <v>TRANSPORTE ENCHAPE</v>
          </cell>
          <cell r="B9" t="str">
            <v>M2/KM</v>
          </cell>
          <cell r="C9">
            <v>195</v>
          </cell>
          <cell r="D9">
            <v>70</v>
          </cell>
          <cell r="E9">
            <v>1</v>
          </cell>
        </row>
        <row r="10">
          <cell r="A10" t="str">
            <v>TRANSPORTE PIEDRA</v>
          </cell>
          <cell r="B10" t="str">
            <v>M3/KM</v>
          </cell>
          <cell r="C10">
            <v>50</v>
          </cell>
          <cell r="D10">
            <v>1800</v>
          </cell>
          <cell r="E10">
            <v>1</v>
          </cell>
        </row>
        <row r="11">
          <cell r="A11" t="str">
            <v>TRANSPORTE PARQUE INFANTIL (9*6,4)</v>
          </cell>
          <cell r="B11" t="str">
            <v>UN/KM</v>
          </cell>
          <cell r="C11">
            <v>195</v>
          </cell>
          <cell r="D11">
            <v>3600</v>
          </cell>
          <cell r="E11">
            <v>1</v>
          </cell>
        </row>
        <row r="12">
          <cell r="A12" t="str">
            <v>TRANSPORTE EQUIPO BIOSALUDABLE</v>
          </cell>
          <cell r="B12" t="str">
            <v>UN/KM</v>
          </cell>
          <cell r="C12">
            <v>195</v>
          </cell>
          <cell r="D12">
            <v>1500</v>
          </cell>
          <cell r="E12">
            <v>1</v>
          </cell>
        </row>
        <row r="13">
          <cell r="A13" t="str">
            <v>TRANSPORTE CANECA - IBAGUE</v>
          </cell>
          <cell r="B13" t="str">
            <v>UN/KM</v>
          </cell>
          <cell r="C13">
            <v>195</v>
          </cell>
          <cell r="D13">
            <v>120</v>
          </cell>
          <cell r="E13">
            <v>1</v>
          </cell>
        </row>
        <row r="14">
          <cell r="A14" t="str">
            <v>TRANSPORTE GALON - IBAGUE</v>
          </cell>
          <cell r="B14" t="str">
            <v>UN/KM</v>
          </cell>
          <cell r="C14">
            <v>195</v>
          </cell>
          <cell r="D14">
            <v>40</v>
          </cell>
          <cell r="E14">
            <v>1</v>
          </cell>
        </row>
        <row r="15">
          <cell r="A15" t="str">
            <v>TRANSPORTE SANITARIO - IBAGUE</v>
          </cell>
          <cell r="B15" t="str">
            <v>UN/KM</v>
          </cell>
          <cell r="C15">
            <v>195</v>
          </cell>
          <cell r="D15">
            <v>250</v>
          </cell>
          <cell r="E15">
            <v>1</v>
          </cell>
        </row>
        <row r="16">
          <cell r="A16" t="str">
            <v>TRANSPORTE LAVAMANOS - IBAGUE</v>
          </cell>
          <cell r="B16" t="str">
            <v>UN/KM</v>
          </cell>
          <cell r="C16">
            <v>195</v>
          </cell>
          <cell r="D16">
            <v>150</v>
          </cell>
          <cell r="E16">
            <v>1</v>
          </cell>
        </row>
        <row r="26">
          <cell r="A26" t="str">
            <v>TABLA DE 3M X 0.25M</v>
          </cell>
          <cell r="B26" t="str">
            <v>DOCENA</v>
          </cell>
          <cell r="C26">
            <v>285600</v>
          </cell>
          <cell r="D26">
            <v>295000</v>
          </cell>
          <cell r="F26">
            <v>290300</v>
          </cell>
        </row>
        <row r="27">
          <cell r="A27" t="str">
            <v>TRITURADO 1/2"</v>
          </cell>
          <cell r="B27" t="str">
            <v>M3</v>
          </cell>
          <cell r="E27">
            <v>69187</v>
          </cell>
          <cell r="F27">
            <v>69187</v>
          </cell>
        </row>
        <row r="28">
          <cell r="A28" t="str">
            <v>TUBO PRESIÓN DE 1/2" RDE 9 X 6M</v>
          </cell>
          <cell r="B28" t="str">
            <v>Und</v>
          </cell>
          <cell r="C28">
            <v>20000</v>
          </cell>
          <cell r="D28">
            <v>2200</v>
          </cell>
          <cell r="F28">
            <v>11100</v>
          </cell>
        </row>
        <row r="29">
          <cell r="A29" t="str">
            <v>TUBO SANITARIO 2" SEMIPESADO</v>
          </cell>
          <cell r="B29" t="str">
            <v>Und</v>
          </cell>
          <cell r="C29">
            <v>28000</v>
          </cell>
          <cell r="D29">
            <v>29200</v>
          </cell>
          <cell r="F29">
            <v>28600</v>
          </cell>
        </row>
        <row r="30">
          <cell r="A30" t="str">
            <v>TUBO SANITARIO 4" TIPO PESADO X 6 METROS</v>
          </cell>
          <cell r="B30" t="str">
            <v>Und</v>
          </cell>
          <cell r="C30">
            <v>89999</v>
          </cell>
          <cell r="D30">
            <v>94500</v>
          </cell>
          <cell r="F30">
            <v>92249.5</v>
          </cell>
        </row>
        <row r="31">
          <cell r="A31" t="str">
            <v>UNION PRESIÓN DE 1/2"</v>
          </cell>
          <cell r="B31" t="str">
            <v>Und</v>
          </cell>
          <cell r="C31">
            <v>1000</v>
          </cell>
          <cell r="D31">
            <v>1100</v>
          </cell>
          <cell r="F31">
            <v>1050</v>
          </cell>
        </row>
        <row r="32">
          <cell r="A32" t="str">
            <v>VINILO TIPO 1</v>
          </cell>
          <cell r="B32" t="str">
            <v>GALÓN</v>
          </cell>
          <cell r="C32">
            <v>50000</v>
          </cell>
          <cell r="D32">
            <v>65000</v>
          </cell>
          <cell r="F32">
            <v>57500</v>
          </cell>
        </row>
        <row r="33">
          <cell r="A33" t="str">
            <v>YEE REDUCIDA DE 3 X 2"</v>
          </cell>
          <cell r="B33" t="str">
            <v>Und</v>
          </cell>
          <cell r="C33">
            <v>13500</v>
          </cell>
          <cell r="D33">
            <v>13900</v>
          </cell>
          <cell r="F33">
            <v>13700</v>
          </cell>
        </row>
        <row r="34">
          <cell r="A34" t="str">
            <v>DIVISIÓN EN ACRILICO</v>
          </cell>
          <cell r="B34" t="str">
            <v>M2</v>
          </cell>
          <cell r="C34">
            <v>128205</v>
          </cell>
          <cell r="D34">
            <v>135000</v>
          </cell>
          <cell r="F34">
            <v>131602.5</v>
          </cell>
        </row>
        <row r="35">
          <cell r="A35" t="str">
            <v>MALLA PLÁSTICA MULTIUSOS 7MM X 7MM H = 100CMM LONGITUD 30 M</v>
          </cell>
          <cell r="B35" t="str">
            <v>ROOLLO</v>
          </cell>
          <cell r="D35">
            <v>217900</v>
          </cell>
          <cell r="F35">
            <v>217900</v>
          </cell>
        </row>
        <row r="36">
          <cell r="A36" t="str">
            <v>PORTÓN METÁLICO CALIBRE 18 CON ANTICORROSIVO</v>
          </cell>
          <cell r="B36" t="str">
            <v>M2</v>
          </cell>
          <cell r="D36">
            <v>222222</v>
          </cell>
          <cell r="F36">
            <v>222222</v>
          </cell>
        </row>
        <row r="37">
          <cell r="A37" t="str">
            <v>BARANDA METÁLICA</v>
          </cell>
          <cell r="B37" t="str">
            <v>ML</v>
          </cell>
          <cell r="D37">
            <v>200000</v>
          </cell>
          <cell r="F37">
            <v>200000</v>
          </cell>
        </row>
        <row r="38">
          <cell r="A38" t="str">
            <v>CARCAMO METÁLICO DE 1.30 X 0.33M</v>
          </cell>
          <cell r="B38" t="str">
            <v>Und</v>
          </cell>
          <cell r="D38">
            <v>250000</v>
          </cell>
          <cell r="F38">
            <v>250000</v>
          </cell>
        </row>
      </sheetData>
      <sheetData sheetId="5">
        <row r="2">
          <cell r="A2" t="str">
            <v>ABRAZADERA TIPO GRAPA TUBO 4" METALICA</v>
          </cell>
          <cell r="B2" t="str">
            <v>UND</v>
          </cell>
          <cell r="C2">
            <v>7580</v>
          </cell>
          <cell r="F2">
            <v>7580</v>
          </cell>
        </row>
        <row r="3">
          <cell r="A3" t="str">
            <v>ACERO W 60</v>
          </cell>
          <cell r="B3" t="str">
            <v>KG</v>
          </cell>
          <cell r="D3">
            <v>5500</v>
          </cell>
          <cell r="F3">
            <v>5500</v>
          </cell>
        </row>
        <row r="4">
          <cell r="A4" t="str">
            <v>ACIDO MURIATICO X3,7LT</v>
          </cell>
          <cell r="B4" t="str">
            <v>UND</v>
          </cell>
          <cell r="C4">
            <v>24900</v>
          </cell>
          <cell r="F4">
            <v>24900</v>
          </cell>
        </row>
        <row r="5">
          <cell r="A5" t="str">
            <v>ADAPTADOR MACHO DE 1/2"</v>
          </cell>
          <cell r="B5" t="str">
            <v>UND</v>
          </cell>
          <cell r="D5">
            <v>1100</v>
          </cell>
          <cell r="F5">
            <v>1100</v>
          </cell>
        </row>
        <row r="6">
          <cell r="A6" t="str">
            <v>ADHESIVO EPOXICO DE UNION CONCRETO FRESCO CON ANTIGUO 1 KG</v>
          </cell>
          <cell r="B6" t="str">
            <v>KG</v>
          </cell>
          <cell r="C6">
            <v>189900</v>
          </cell>
          <cell r="F6">
            <v>189900</v>
          </cell>
        </row>
        <row r="7">
          <cell r="A7" t="str">
            <v>ADOQUIN INDUPISO PIZARRA O SIMILAR COLOR ARENA (20X20X8)</v>
          </cell>
          <cell r="B7" t="str">
            <v>UND</v>
          </cell>
          <cell r="C7">
            <v>4169</v>
          </cell>
          <cell r="F7">
            <v>4169</v>
          </cell>
          <cell r="G7">
            <v>195</v>
          </cell>
        </row>
        <row r="8">
          <cell r="A8" t="str">
            <v>ADOQUIN RECTANGULAR GRIS (20X 10 X 8)</v>
          </cell>
          <cell r="B8" t="str">
            <v>UND</v>
          </cell>
          <cell r="C8">
            <v>1832</v>
          </cell>
          <cell r="F8">
            <v>1832</v>
          </cell>
          <cell r="G8">
            <v>195</v>
          </cell>
        </row>
        <row r="9">
          <cell r="A9" t="str">
            <v>AGENTE QUIMICO PARA DESTAPAR CAÑERIA</v>
          </cell>
          <cell r="B9" t="str">
            <v>UND</v>
          </cell>
          <cell r="C9">
            <v>18900</v>
          </cell>
          <cell r="F9">
            <v>18900</v>
          </cell>
        </row>
        <row r="10">
          <cell r="A10" t="str">
            <v>AGUA</v>
          </cell>
          <cell r="B10" t="str">
            <v>LT</v>
          </cell>
          <cell r="E10">
            <v>35</v>
          </cell>
          <cell r="F10">
            <v>35</v>
          </cell>
        </row>
        <row r="11">
          <cell r="A11" t="str">
            <v>ALAMBRE GALVANIZADO CAL.12</v>
          </cell>
          <cell r="B11" t="str">
            <v>KG</v>
          </cell>
          <cell r="C11">
            <v>11400</v>
          </cell>
          <cell r="F11">
            <v>11400</v>
          </cell>
        </row>
        <row r="12">
          <cell r="A12" t="str">
            <v>ALAMBRE NEGRO N°18</v>
          </cell>
          <cell r="B12" t="str">
            <v>KG</v>
          </cell>
          <cell r="D12">
            <v>8700</v>
          </cell>
          <cell r="F12">
            <v>8700</v>
          </cell>
        </row>
        <row r="13">
          <cell r="A13" t="str">
            <v>ALFAJIA EN CONCRETO A=25CM L=1 M</v>
          </cell>
          <cell r="B13" t="str">
            <v>UND</v>
          </cell>
          <cell r="C13">
            <v>34500</v>
          </cell>
          <cell r="F13">
            <v>34500</v>
          </cell>
          <cell r="G13">
            <v>195</v>
          </cell>
        </row>
        <row r="14">
          <cell r="A14" t="str">
            <v>ANGULO 6X1-1/2"X1/8"</v>
          </cell>
          <cell r="B14" t="str">
            <v>UND</v>
          </cell>
          <cell r="C14">
            <v>52100</v>
          </cell>
          <cell r="F14">
            <v>52100</v>
          </cell>
        </row>
        <row r="15">
          <cell r="A15" t="str">
            <v>ARENA</v>
          </cell>
          <cell r="B15" t="str">
            <v>M3</v>
          </cell>
          <cell r="D15">
            <v>90000</v>
          </cell>
          <cell r="F15">
            <v>90000</v>
          </cell>
          <cell r="G15">
            <v>125</v>
          </cell>
        </row>
        <row r="16">
          <cell r="A16" t="str">
            <v>ARENA PARA PAÑETE</v>
          </cell>
          <cell r="B16" t="str">
            <v>M3</v>
          </cell>
          <cell r="D16">
            <v>90000</v>
          </cell>
          <cell r="F16">
            <v>90000</v>
          </cell>
        </row>
        <row r="17">
          <cell r="A17" t="str">
            <v>ARENA DE PLANTA</v>
          </cell>
          <cell r="B17" t="str">
            <v>M3</v>
          </cell>
          <cell r="C17">
            <v>47338</v>
          </cell>
          <cell r="F17">
            <v>47338</v>
          </cell>
        </row>
        <row r="18">
          <cell r="A18" t="str">
            <v>BARANDA METÁLICA TUBO PETROLERO 2" TRES LINEAS</v>
          </cell>
          <cell r="B18" t="str">
            <v>M</v>
          </cell>
          <cell r="D18">
            <v>200000</v>
          </cell>
          <cell r="F18">
            <v>200000</v>
          </cell>
        </row>
        <row r="19">
          <cell r="A19" t="str">
            <v>BLOQUE ABUJARDADO 14X19X39 CM</v>
          </cell>
          <cell r="B19" t="str">
            <v>UND</v>
          </cell>
          <cell r="C19">
            <v>6000</v>
          </cell>
          <cell r="F19">
            <v>6000</v>
          </cell>
          <cell r="G19">
            <v>195</v>
          </cell>
        </row>
        <row r="20">
          <cell r="A20" t="str">
            <v>BOMBILLO LED 50W</v>
          </cell>
          <cell r="B20" t="str">
            <v>UND</v>
          </cell>
          <cell r="C20">
            <v>44900</v>
          </cell>
          <cell r="D20">
            <v>25000</v>
          </cell>
          <cell r="F20">
            <v>34950</v>
          </cell>
        </row>
        <row r="21">
          <cell r="A21" t="str">
            <v>BOQUILLA PARA CERÁMICA</v>
          </cell>
          <cell r="B21" t="str">
            <v>KG</v>
          </cell>
          <cell r="C21">
            <v>8450</v>
          </cell>
          <cell r="D21">
            <v>7200</v>
          </cell>
          <cell r="F21">
            <v>7825</v>
          </cell>
        </row>
        <row r="22">
          <cell r="A22" t="str">
            <v>BRIDA 4" PARA INSTALACIÓN SANITARIO</v>
          </cell>
          <cell r="B22" t="str">
            <v>UND</v>
          </cell>
          <cell r="C22">
            <v>57900</v>
          </cell>
          <cell r="F22">
            <v>57900</v>
          </cell>
        </row>
        <row r="23">
          <cell r="A23" t="str">
            <v>BROCHA 4"</v>
          </cell>
          <cell r="B23" t="str">
            <v>UND</v>
          </cell>
          <cell r="C23">
            <v>13900</v>
          </cell>
          <cell r="D23">
            <v>17000</v>
          </cell>
          <cell r="F23">
            <v>15450</v>
          </cell>
        </row>
        <row r="24">
          <cell r="A24" t="str">
            <v>CABLE DE RED CAT6 UTPX100</v>
          </cell>
          <cell r="B24" t="str">
            <v>ROLLO</v>
          </cell>
          <cell r="C24">
            <v>79900</v>
          </cell>
          <cell r="F24">
            <v>79900</v>
          </cell>
        </row>
        <row r="25">
          <cell r="A25" t="str">
            <v>CABLE N°12 ENCAUCHETADOX100</v>
          </cell>
          <cell r="B25" t="str">
            <v>ROLLO</v>
          </cell>
          <cell r="C25">
            <v>240900</v>
          </cell>
          <cell r="D25">
            <v>245000</v>
          </cell>
          <cell r="F25">
            <v>242950</v>
          </cell>
        </row>
        <row r="26">
          <cell r="A26" t="str">
            <v>CAJA 2X4 PLASTICA</v>
          </cell>
          <cell r="B26" t="str">
            <v>UND</v>
          </cell>
          <cell r="C26">
            <v>1000</v>
          </cell>
          <cell r="D26">
            <v>1500</v>
          </cell>
          <cell r="F26">
            <v>1250</v>
          </cell>
        </row>
        <row r="27">
          <cell r="A27" t="str">
            <v>CAJA OCTOGONAL PLASTICA</v>
          </cell>
          <cell r="B27" t="str">
            <v>UND</v>
          </cell>
          <cell r="C27">
            <v>1100</v>
          </cell>
          <cell r="D27">
            <v>1800</v>
          </cell>
          <cell r="F27">
            <v>1450</v>
          </cell>
        </row>
        <row r="28">
          <cell r="A28" t="str">
            <v>CANALETA ELECTRICA 12CMX20CMX2M</v>
          </cell>
          <cell r="B28" t="str">
            <v>M</v>
          </cell>
          <cell r="C28">
            <v>12600</v>
          </cell>
          <cell r="D28">
            <v>18600</v>
          </cell>
          <cell r="F28">
            <v>15600</v>
          </cell>
        </row>
        <row r="29">
          <cell r="A29" t="str">
            <v>CARCAMO METÁLICO DE 1.30 X 0.33M</v>
          </cell>
          <cell r="B29" t="str">
            <v>UND</v>
          </cell>
          <cell r="C29">
            <v>9000</v>
          </cell>
          <cell r="F29">
            <v>9000</v>
          </cell>
        </row>
        <row r="30">
          <cell r="A30" t="str">
            <v>CEMENTO 50 KG</v>
          </cell>
          <cell r="B30" t="str">
            <v>BLT</v>
          </cell>
          <cell r="D30">
            <v>37000</v>
          </cell>
          <cell r="E30">
            <v>37000</v>
          </cell>
          <cell r="F30">
            <v>37000</v>
          </cell>
        </row>
        <row r="31">
          <cell r="A31" t="str">
            <v>CEMENTO BLANCO</v>
          </cell>
          <cell r="B31" t="str">
            <v>KG</v>
          </cell>
          <cell r="D31">
            <v>3800</v>
          </cell>
          <cell r="F31">
            <v>3800</v>
          </cell>
        </row>
        <row r="32">
          <cell r="A32" t="str">
            <v>CERÁMICA PARA PISO 51X51 O SUPERIOR</v>
          </cell>
          <cell r="B32" t="str">
            <v>M2</v>
          </cell>
          <cell r="C32">
            <v>39900</v>
          </cell>
          <cell r="F32">
            <v>39900</v>
          </cell>
        </row>
        <row r="33">
          <cell r="A33" t="str">
            <v>CERAMICA GRES 20X20 CALIDAD 1</v>
          </cell>
          <cell r="B33" t="str">
            <v>M2</v>
          </cell>
          <cell r="C33">
            <v>68500</v>
          </cell>
          <cell r="F33">
            <v>68500</v>
          </cell>
        </row>
        <row r="34">
          <cell r="A34" t="str">
            <v>CERÁMICA PARA PARED 20X30 O  SUPERIOR</v>
          </cell>
          <cell r="B34" t="str">
            <v>M2</v>
          </cell>
          <cell r="C34">
            <v>27900</v>
          </cell>
          <cell r="D34">
            <v>32000</v>
          </cell>
          <cell r="F34">
            <v>29950</v>
          </cell>
        </row>
        <row r="35">
          <cell r="A35" t="str">
            <v>Chazo Doble Aleta 3/8  Con Tornillo 12 x 2´ x 50</v>
          </cell>
          <cell r="B35" t="str">
            <v>UND</v>
          </cell>
          <cell r="C35">
            <v>458</v>
          </cell>
          <cell r="F35">
            <v>458</v>
          </cell>
        </row>
        <row r="36">
          <cell r="A36" t="str">
            <v xml:space="preserve">CHAZO EXPANSIVO CONCRETO 1/2" </v>
          </cell>
          <cell r="B36" t="str">
            <v>UND</v>
          </cell>
          <cell r="C36">
            <v>3500</v>
          </cell>
          <cell r="F36">
            <v>3500</v>
          </cell>
        </row>
        <row r="37">
          <cell r="A37" t="str">
            <v>CIELO RASO PVC 9 MM CON ESTRUCTURA</v>
          </cell>
          <cell r="B37" t="str">
            <v>M2</v>
          </cell>
          <cell r="D37">
            <v>30000</v>
          </cell>
          <cell r="F37">
            <v>30000</v>
          </cell>
        </row>
        <row r="38">
          <cell r="A38" t="str">
            <v>CINTA AISLANTE 20M X 19MM</v>
          </cell>
          <cell r="B38" t="str">
            <v>UND</v>
          </cell>
          <cell r="C38">
            <v>5600</v>
          </cell>
          <cell r="F38">
            <v>5600</v>
          </cell>
        </row>
        <row r="39">
          <cell r="A39" t="str">
            <v>CINTA TEFLON 1/2"  X 10 M</v>
          </cell>
          <cell r="B39" t="str">
            <v>UND</v>
          </cell>
          <cell r="D39">
            <v>4500</v>
          </cell>
          <cell r="F39">
            <v>4500</v>
          </cell>
        </row>
        <row r="40">
          <cell r="A40" t="str">
            <v>CODO PRESIÓN DE 1/2"</v>
          </cell>
          <cell r="B40" t="str">
            <v>UND</v>
          </cell>
          <cell r="D40">
            <v>1100</v>
          </cell>
          <cell r="F40">
            <v>1100</v>
          </cell>
        </row>
        <row r="41">
          <cell r="A41" t="str">
            <v>CODO SANITARIO DE 2" PVC</v>
          </cell>
          <cell r="B41" t="str">
            <v>UND</v>
          </cell>
          <cell r="D41">
            <v>5200</v>
          </cell>
          <cell r="F41">
            <v>5200</v>
          </cell>
        </row>
        <row r="42">
          <cell r="A42" t="str">
            <v>CODO SANITARIO DE 4" PVC</v>
          </cell>
          <cell r="B42" t="str">
            <v>UND</v>
          </cell>
          <cell r="D42">
            <v>12200</v>
          </cell>
          <cell r="F42">
            <v>12200</v>
          </cell>
        </row>
        <row r="43">
          <cell r="A43" t="str">
            <v>CODO TUBERIA CUADRADA 6X6 PVC</v>
          </cell>
          <cell r="B43" t="str">
            <v>UND</v>
          </cell>
          <cell r="C43">
            <v>6780</v>
          </cell>
          <cell r="F43">
            <v>6780</v>
          </cell>
        </row>
        <row r="44">
          <cell r="A44" t="str">
            <v>CONCRETO 3.000 PSI</v>
          </cell>
          <cell r="B44" t="str">
            <v>M3</v>
          </cell>
          <cell r="C44">
            <v>1111084</v>
          </cell>
          <cell r="F44">
            <v>1111084</v>
          </cell>
        </row>
        <row r="45">
          <cell r="A45" t="str">
            <v>CUARTON DE 5CM X 10CM X 3M</v>
          </cell>
          <cell r="B45" t="str">
            <v>UND</v>
          </cell>
          <cell r="D45">
            <v>21000</v>
          </cell>
          <cell r="F45">
            <v>21000</v>
          </cell>
        </row>
        <row r="46">
          <cell r="A46" t="str">
            <v>CURVA EMT 1/2"</v>
          </cell>
          <cell r="B46" t="str">
            <v>UND</v>
          </cell>
          <cell r="D46">
            <v>5500</v>
          </cell>
          <cell r="F46">
            <v>5500</v>
          </cell>
        </row>
        <row r="47">
          <cell r="A47" t="str">
            <v>DESAGUE SIFON TIPO BOTELLA LAVAMANOS</v>
          </cell>
          <cell r="B47" t="str">
            <v>UND</v>
          </cell>
          <cell r="C47">
            <v>29900</v>
          </cell>
          <cell r="F47">
            <v>29900</v>
          </cell>
        </row>
        <row r="48">
          <cell r="A48" t="str">
            <v>DISOLVENTE</v>
          </cell>
          <cell r="B48" t="str">
            <v>GLN</v>
          </cell>
          <cell r="D48">
            <v>40000</v>
          </cell>
          <cell r="F48">
            <v>40000</v>
          </cell>
        </row>
        <row r="49">
          <cell r="A49" t="str">
            <v>DISPOSICIÓN DE MATERIAL SOBRANTE</v>
          </cell>
          <cell r="B49" t="str">
            <v>M3</v>
          </cell>
          <cell r="D49">
            <v>3000</v>
          </cell>
          <cell r="F49">
            <v>3000</v>
          </cell>
        </row>
        <row r="50">
          <cell r="A50" t="str">
            <v>DIVISIÓN EN ACRILICO</v>
          </cell>
          <cell r="B50" t="str">
            <v>M2</v>
          </cell>
          <cell r="D50">
            <v>135000</v>
          </cell>
          <cell r="F50">
            <v>135000</v>
          </cell>
        </row>
        <row r="51">
          <cell r="A51" t="str">
            <v>ESPATULA 3"</v>
          </cell>
          <cell r="B51" t="str">
            <v>UND</v>
          </cell>
          <cell r="D51">
            <v>13500</v>
          </cell>
          <cell r="F51">
            <v>13500</v>
          </cell>
        </row>
        <row r="52">
          <cell r="A52" t="str">
            <v>ESTUCO ACRILICO RESISTENTE A LA INTERPERIE DE ALTA ADEHERENCIA 30 KG</v>
          </cell>
          <cell r="B52" t="str">
            <v>CANECA</v>
          </cell>
          <cell r="C52">
            <v>259900</v>
          </cell>
          <cell r="F52">
            <v>259900</v>
          </cell>
        </row>
        <row r="53">
          <cell r="A53" t="str">
            <v>ESTUCO PLASTICO INTERIOR Y EXTERIOR 30 KG</v>
          </cell>
          <cell r="B53" t="str">
            <v>CANECA</v>
          </cell>
          <cell r="C53">
            <v>120000</v>
          </cell>
          <cell r="F53">
            <v>120000</v>
          </cell>
        </row>
        <row r="54">
          <cell r="A54" t="str">
            <v xml:space="preserve">FLANCHE METALICO CAL.26 20X2 </v>
          </cell>
          <cell r="B54" t="str">
            <v>M</v>
          </cell>
          <cell r="D54">
            <v>30000</v>
          </cell>
          <cell r="F54">
            <v>30000</v>
          </cell>
        </row>
        <row r="55">
          <cell r="A55" t="str">
            <v>GEOTEXTIL NO TEJIDO NT1600S 1MX3,5M</v>
          </cell>
          <cell r="B55" t="str">
            <v>M2</v>
          </cell>
          <cell r="C55">
            <v>12900</v>
          </cell>
          <cell r="F55">
            <v>12900</v>
          </cell>
        </row>
        <row r="56">
          <cell r="A56" t="str">
            <v>GRAVILLA No 3 (PARA ANDEN)</v>
          </cell>
          <cell r="B56" t="str">
            <v>M3</v>
          </cell>
          <cell r="D56">
            <v>2400</v>
          </cell>
          <cell r="F56">
            <v>2400</v>
          </cell>
        </row>
        <row r="57">
          <cell r="A57" t="str">
            <v>GRIFERIA PARA SANITARIO CON FLOTADOR</v>
          </cell>
          <cell r="B57" t="str">
            <v>UND</v>
          </cell>
          <cell r="C57">
            <v>62900</v>
          </cell>
          <cell r="F57">
            <v>62900</v>
          </cell>
        </row>
        <row r="58">
          <cell r="A58" t="str">
            <v>IMPRIMANTE EPOXICO A BASE DE DOS DISOLVENTES PARA MEJORAR ADHERENCIA</v>
          </cell>
          <cell r="B58" t="str">
            <v>GLN</v>
          </cell>
          <cell r="C58">
            <v>219900</v>
          </cell>
          <cell r="F58">
            <v>219900</v>
          </cell>
        </row>
        <row r="59">
          <cell r="A59" t="str">
            <v>IMPERMEABILIZANTE ACRILICO+FIBRAS 12 AÑOS</v>
          </cell>
          <cell r="B59" t="str">
            <v>CANECA</v>
          </cell>
          <cell r="C59">
            <v>446900</v>
          </cell>
          <cell r="F59">
            <v>446900</v>
          </cell>
        </row>
        <row r="60">
          <cell r="A60" t="str">
            <v>IMPERMEABILIZANTE DE RESINA ACUROSA SIKA IMPERMUR O SIMILAR 1KG</v>
          </cell>
          <cell r="B60" t="str">
            <v>KG</v>
          </cell>
          <cell r="C60">
            <v>79900</v>
          </cell>
          <cell r="F60">
            <v>79900</v>
          </cell>
        </row>
        <row r="61">
          <cell r="A61" t="str">
            <v>INTERRUPTOR SENCILLO</v>
          </cell>
          <cell r="B61" t="str">
            <v>UND</v>
          </cell>
          <cell r="C61">
            <v>6900</v>
          </cell>
          <cell r="F61">
            <v>6900</v>
          </cell>
        </row>
        <row r="62">
          <cell r="A62" t="str">
            <v>LADRILLO MACIZO DE 23 X 12 X 6CM</v>
          </cell>
          <cell r="B62" t="str">
            <v>UND</v>
          </cell>
          <cell r="D62">
            <v>900</v>
          </cell>
          <cell r="F62">
            <v>900</v>
          </cell>
        </row>
        <row r="63">
          <cell r="A63" t="str">
            <v>LAMPARA LED 18W</v>
          </cell>
          <cell r="B63" t="str">
            <v>UND</v>
          </cell>
          <cell r="C63">
            <v>22900</v>
          </cell>
          <cell r="F63">
            <v>22900</v>
          </cell>
        </row>
        <row r="64">
          <cell r="A64" t="str">
            <v>LAMPARA LED SOLAR TIPO ROMBO UFO 20</v>
          </cell>
          <cell r="B64" t="str">
            <v>UND</v>
          </cell>
          <cell r="C64">
            <v>1200000</v>
          </cell>
          <cell r="F64">
            <v>1200000</v>
          </cell>
        </row>
        <row r="65">
          <cell r="A65" t="str">
            <v>LAVAMANO DE EMPOTRAR SENCILLO SIN FRIFERIA</v>
          </cell>
          <cell r="B65" t="str">
            <v>UND</v>
          </cell>
          <cell r="C65">
            <v>231900</v>
          </cell>
          <cell r="F65">
            <v>231900</v>
          </cell>
        </row>
        <row r="66">
          <cell r="A66" t="str">
            <v>LAVAMANOS SIN GRIFERIA</v>
          </cell>
          <cell r="B66" t="str">
            <v>UND</v>
          </cell>
          <cell r="C66">
            <v>160000</v>
          </cell>
          <cell r="F66">
            <v>160000</v>
          </cell>
        </row>
        <row r="67">
          <cell r="A67" t="str">
            <v>LIMPIADOR PVC 12 ONZAS</v>
          </cell>
          <cell r="B67" t="str">
            <v>UND</v>
          </cell>
          <cell r="C67">
            <v>29900</v>
          </cell>
          <cell r="F67">
            <v>29900</v>
          </cell>
        </row>
        <row r="68">
          <cell r="A68" t="str">
            <v>LISTON DE 4CM X 4CM X 3M</v>
          </cell>
          <cell r="B68" t="str">
            <v>UND</v>
          </cell>
          <cell r="D68">
            <v>12500</v>
          </cell>
          <cell r="F68">
            <v>12500</v>
          </cell>
        </row>
        <row r="69">
          <cell r="A69" t="str">
            <v>LLAVE TERMINAL LAVAMANOS SENCILLA 1/2"</v>
          </cell>
          <cell r="B69" t="str">
            <v>UND</v>
          </cell>
          <cell r="C69">
            <v>27900</v>
          </cell>
          <cell r="F69">
            <v>27900</v>
          </cell>
        </row>
        <row r="70">
          <cell r="A70" t="str">
            <v>LLAVE TERMINAL LAVAMANOS TIPO PUSH</v>
          </cell>
          <cell r="B70" t="str">
            <v>UND</v>
          </cell>
          <cell r="C70">
            <v>144900</v>
          </cell>
          <cell r="F70">
            <v>144900</v>
          </cell>
        </row>
        <row r="71">
          <cell r="A71" t="str">
            <v>LLAVE TERMINAL ORINAL TIPO PUSH</v>
          </cell>
          <cell r="B71" t="str">
            <v>UND</v>
          </cell>
          <cell r="C71">
            <v>151900</v>
          </cell>
          <cell r="F71">
            <v>151900</v>
          </cell>
        </row>
        <row r="72">
          <cell r="A72" t="str">
            <v>MALLA ELECTROSOLDADA 6 MM 6X2,35M2</v>
          </cell>
          <cell r="B72" t="str">
            <v>UND</v>
          </cell>
          <cell r="C72">
            <v>280000</v>
          </cell>
          <cell r="F72">
            <v>280000</v>
          </cell>
        </row>
        <row r="73">
          <cell r="A73" t="str">
            <v>MALLA PARA GAVION CAL.13 DOBLE TORSION 2X1X1</v>
          </cell>
          <cell r="B73" t="str">
            <v>UND</v>
          </cell>
          <cell r="C73">
            <v>117641</v>
          </cell>
          <cell r="F73">
            <v>117641</v>
          </cell>
        </row>
        <row r="74">
          <cell r="A74" t="str">
            <v>MALLA PLÁSTICA MULTIUSOS 7MM X 7MM H = 100CMM LONGITUD 30 M</v>
          </cell>
          <cell r="B74" t="str">
            <v>UND</v>
          </cell>
          <cell r="C74">
            <v>306900</v>
          </cell>
          <cell r="F74">
            <v>306900</v>
          </cell>
          <cell r="G74">
            <v>193</v>
          </cell>
        </row>
        <row r="75">
          <cell r="A75" t="str">
            <v xml:space="preserve">MANGUERA ACOPLE 1/2" </v>
          </cell>
          <cell r="B75" t="str">
            <v>UND</v>
          </cell>
          <cell r="C75">
            <v>7000</v>
          </cell>
          <cell r="F75">
            <v>7000</v>
          </cell>
        </row>
        <row r="76">
          <cell r="A76" t="str">
            <v>MAQUINA BIOSALUDABLE BANCO DOBLE ABDOMINAL DE 1.9x1.2x0,7 CON CERTIFICADO TUV GS, ISO 9000 Y DEMAS NORMAS APLICABLES - INCLUYE TODO PARA SU CORRECTO FUNCIONAMIENTO.</v>
          </cell>
          <cell r="B76" t="str">
            <v>UND</v>
          </cell>
          <cell r="C76">
            <v>3270002</v>
          </cell>
          <cell r="F76">
            <v>3270002</v>
          </cell>
        </row>
        <row r="77">
          <cell r="A77" t="str">
            <v>ORINAL CON ACCESORIOS</v>
          </cell>
          <cell r="B77" t="str">
            <v>UND</v>
          </cell>
          <cell r="C77">
            <v>331900</v>
          </cell>
          <cell r="F77">
            <v>331900</v>
          </cell>
        </row>
        <row r="78">
          <cell r="A78" t="str">
            <v>PARQUE INFANTIL DE  PLATAFORMAS CON TUNEL COMUNICANTE, RODADERO CERRADO, ESPIRAL Y DOBLE, ESCALERAS METALICAS DE ACCESO, COLUMPIOS, DOS TECHOS Y ACCESORIOS. AREA (9X6,40MTS)</v>
          </cell>
          <cell r="B78" t="str">
            <v>UND</v>
          </cell>
          <cell r="C78">
            <v>20825000</v>
          </cell>
          <cell r="F78">
            <v>20825000</v>
          </cell>
        </row>
        <row r="79">
          <cell r="A79" t="str">
            <v>PEGANTE PARA CERÁMICA X25 KG</v>
          </cell>
          <cell r="B79" t="str">
            <v>UND</v>
          </cell>
          <cell r="C79">
            <v>37400</v>
          </cell>
          <cell r="F79">
            <v>37400</v>
          </cell>
        </row>
        <row r="80">
          <cell r="A80" t="str">
            <v>Película Protección Uv 100% &amp; Irr 1.2x2m 2mm</v>
          </cell>
          <cell r="B80" t="str">
            <v>M2</v>
          </cell>
          <cell r="C80">
            <v>62458</v>
          </cell>
          <cell r="F80">
            <v>62458</v>
          </cell>
        </row>
        <row r="81">
          <cell r="A81" t="str">
            <v>PIEDRA PARA GAVION</v>
          </cell>
          <cell r="B81" t="str">
            <v>M3</v>
          </cell>
          <cell r="D81">
            <v>100000</v>
          </cell>
          <cell r="F81">
            <v>100000</v>
          </cell>
        </row>
        <row r="82">
          <cell r="A82" t="str">
            <v>PINTURA PARA CANCHA</v>
          </cell>
          <cell r="B82" t="str">
            <v>CANECA</v>
          </cell>
          <cell r="C82">
            <v>757812.23</v>
          </cell>
          <cell r="F82">
            <v>757812</v>
          </cell>
        </row>
        <row r="83">
          <cell r="A83" t="str">
            <v>PINTURA ESMALTE 3 EN 1</v>
          </cell>
          <cell r="B83" t="str">
            <v>GLN</v>
          </cell>
          <cell r="C83">
            <v>136900</v>
          </cell>
          <cell r="F83">
            <v>136900</v>
          </cell>
        </row>
        <row r="84">
          <cell r="A84" t="str">
            <v>PINTURA TIPO 1 EXTERIOR SUPER ACRILICA PROTECCION SOL Y LLUVIA ANTI-HONGOS</v>
          </cell>
          <cell r="B84" t="str">
            <v>GLN</v>
          </cell>
          <cell r="C84">
            <v>115900</v>
          </cell>
          <cell r="D84">
            <v>140000</v>
          </cell>
          <cell r="E84">
            <v>144000</v>
          </cell>
          <cell r="F84">
            <v>133300</v>
          </cell>
        </row>
        <row r="85">
          <cell r="A85" t="str">
            <v>PINTURA TIPO 1 INTERIOR LAVABLE X 5 GLN</v>
          </cell>
          <cell r="B85" t="str">
            <v>CANECA</v>
          </cell>
          <cell r="C85">
            <v>299900</v>
          </cell>
          <cell r="F85">
            <v>299900</v>
          </cell>
        </row>
        <row r="86">
          <cell r="A86" t="str">
            <v>PLAFON BOMBILLO PORCELANA</v>
          </cell>
          <cell r="B86" t="str">
            <v>UND</v>
          </cell>
          <cell r="C86">
            <v>5900</v>
          </cell>
          <cell r="F86">
            <v>5900</v>
          </cell>
        </row>
        <row r="87">
          <cell r="A87" t="str">
            <v>PORTÓN METÁLICO CALIBRE 18 CON ANTICORROSIVO</v>
          </cell>
          <cell r="B87" t="str">
            <v>M2</v>
          </cell>
          <cell r="F87" t="e">
            <v>#DIV/0!</v>
          </cell>
        </row>
        <row r="88">
          <cell r="A88" t="str">
            <v>Puntilla de 2 1/2"</v>
          </cell>
          <cell r="B88" t="str">
            <v>LB</v>
          </cell>
          <cell r="D88">
            <v>5800</v>
          </cell>
          <cell r="F88">
            <v>5800</v>
          </cell>
        </row>
        <row r="89">
          <cell r="A89" t="str">
            <v>Jack Datos Rj45 Cat6 Simple</v>
          </cell>
          <cell r="B89" t="str">
            <v>UND</v>
          </cell>
          <cell r="C89">
            <v>33900</v>
          </cell>
          <cell r="F89">
            <v>33900</v>
          </cell>
        </row>
        <row r="90">
          <cell r="A90" t="str">
            <v>RECEBO</v>
          </cell>
          <cell r="B90" t="str">
            <v>M3</v>
          </cell>
          <cell r="D90">
            <v>90000</v>
          </cell>
          <cell r="F90">
            <v>90000</v>
          </cell>
          <cell r="G90">
            <v>5</v>
          </cell>
        </row>
        <row r="91">
          <cell r="A91" t="str">
            <v xml:space="preserve">REJILLA METÁLICA 4" A 2" </v>
          </cell>
          <cell r="B91" t="str">
            <v>UND</v>
          </cell>
          <cell r="C91">
            <v>22900</v>
          </cell>
          <cell r="F91">
            <v>22900</v>
          </cell>
        </row>
        <row r="92">
          <cell r="A92" t="str">
            <v>RODILLO DE FELPA 9"</v>
          </cell>
          <cell r="B92" t="str">
            <v>UND</v>
          </cell>
          <cell r="C92">
            <v>13900</v>
          </cell>
          <cell r="F92">
            <v>13900</v>
          </cell>
        </row>
        <row r="93">
          <cell r="A93" t="str">
            <v>SANITARIO ECONOMICO 2 PIEZAS</v>
          </cell>
          <cell r="B93" t="str">
            <v>UND</v>
          </cell>
          <cell r="C93">
            <v>281900</v>
          </cell>
          <cell r="D93">
            <v>300000</v>
          </cell>
          <cell r="F93">
            <v>290950</v>
          </cell>
        </row>
        <row r="94">
          <cell r="A94" t="str">
            <v>SANITARIO INFANTIL</v>
          </cell>
          <cell r="B94" t="str">
            <v>UND</v>
          </cell>
          <cell r="C94">
            <v>646900</v>
          </cell>
          <cell r="F94">
            <v>646900</v>
          </cell>
        </row>
        <row r="95">
          <cell r="A95" t="str">
            <v>SELLADOR DE POLIURETANO 100% ALTO RENDIMIENTO 300ML</v>
          </cell>
          <cell r="B95" t="str">
            <v>UND</v>
          </cell>
          <cell r="C95">
            <v>27900</v>
          </cell>
          <cell r="F95">
            <v>27900</v>
          </cell>
        </row>
        <row r="96">
          <cell r="A96" t="str">
            <v>SEPARADOR DE CERAMICA 2MM</v>
          </cell>
          <cell r="B96" t="str">
            <v>UND</v>
          </cell>
          <cell r="C96">
            <v>104.5</v>
          </cell>
          <cell r="F96">
            <v>105</v>
          </cell>
        </row>
        <row r="97">
          <cell r="A97" t="str">
            <v>SILICONA ANTIHONGOS BAÑOS Y COCINA 280 ML</v>
          </cell>
          <cell r="B97" t="str">
            <v>UND</v>
          </cell>
          <cell r="C97">
            <v>24000</v>
          </cell>
          <cell r="F97">
            <v>24000</v>
          </cell>
        </row>
        <row r="98">
          <cell r="A98" t="str">
            <v>SOLDADURA PVC  1/4 GLN</v>
          </cell>
          <cell r="B98" t="str">
            <v>UND</v>
          </cell>
          <cell r="C98">
            <v>71900</v>
          </cell>
          <cell r="F98">
            <v>71900</v>
          </cell>
        </row>
        <row r="99">
          <cell r="A99" t="str">
            <v>SOPORTE ORGANIZADOR DE GUITARRAS DE PARED 2 M</v>
          </cell>
          <cell r="B99" t="str">
            <v>UND</v>
          </cell>
          <cell r="D99">
            <v>750000</v>
          </cell>
          <cell r="F99">
            <v>750000</v>
          </cell>
        </row>
        <row r="100">
          <cell r="A100" t="str">
            <v>TABLA DE 3M X 0.25M</v>
          </cell>
          <cell r="B100" t="str">
            <v>DOCENA</v>
          </cell>
          <cell r="D100">
            <v>295000</v>
          </cell>
          <cell r="F100">
            <v>295000</v>
          </cell>
        </row>
        <row r="101">
          <cell r="A101" t="str">
            <v>TEJA EN LAMINA GALVANIZADA CAL.28</v>
          </cell>
          <cell r="B101" t="str">
            <v>M2</v>
          </cell>
          <cell r="D101">
            <v>25000</v>
          </cell>
          <cell r="F101">
            <v>25000</v>
          </cell>
        </row>
        <row r="102">
          <cell r="A102" t="str">
            <v xml:space="preserve">TEJA TERMOACISTICA ARQUITECTONICA CAL. 31 </v>
          </cell>
          <cell r="B102" t="str">
            <v>M2</v>
          </cell>
          <cell r="C102">
            <v>32000</v>
          </cell>
          <cell r="F102">
            <v>32000</v>
          </cell>
        </row>
        <row r="103">
          <cell r="A103" t="str">
            <v>TOMA CORRIENTE DOBLE</v>
          </cell>
          <cell r="B103" t="str">
            <v>UND</v>
          </cell>
          <cell r="D103">
            <v>9000</v>
          </cell>
          <cell r="F103">
            <v>9000</v>
          </cell>
        </row>
        <row r="104">
          <cell r="A104" t="str">
            <v>TORNILLO CUBIERTA 2" CON ARANDELA DE NEOPRENO</v>
          </cell>
          <cell r="B104" t="str">
            <v>UND</v>
          </cell>
          <cell r="C104">
            <v>1499</v>
          </cell>
          <cell r="F104">
            <v>1499</v>
          </cell>
        </row>
        <row r="105">
          <cell r="A105" t="str">
            <v>TRITURADO 1/2"</v>
          </cell>
          <cell r="B105" t="str">
            <v>M3</v>
          </cell>
          <cell r="C105">
            <v>65545</v>
          </cell>
          <cell r="F105">
            <v>65545</v>
          </cell>
          <cell r="G105">
            <v>120</v>
          </cell>
        </row>
        <row r="106">
          <cell r="A106" t="str">
            <v>TRUFLEX A BASE DE CUARZO + 2 CAPAS DE COLOR</v>
          </cell>
          <cell r="B106" t="str">
            <v>M2</v>
          </cell>
          <cell r="C106">
            <v>75000</v>
          </cell>
          <cell r="F106">
            <v>75000</v>
          </cell>
        </row>
        <row r="107">
          <cell r="A107" t="str">
            <v>TUBERIA EMT 1/2" X3 M</v>
          </cell>
          <cell r="B107" t="str">
            <v>M</v>
          </cell>
          <cell r="C107">
            <v>19000</v>
          </cell>
          <cell r="D107">
            <v>21000</v>
          </cell>
          <cell r="E107">
            <v>23000</v>
          </cell>
          <cell r="F107">
            <v>21000</v>
          </cell>
        </row>
        <row r="108">
          <cell r="A108" t="str">
            <v>TUBERIA PVC ANILLADA DE 36"x6,5m</v>
          </cell>
          <cell r="B108" t="str">
            <v>UND</v>
          </cell>
          <cell r="C108">
            <v>10117868</v>
          </cell>
          <cell r="F108">
            <v>10117868</v>
          </cell>
        </row>
        <row r="109">
          <cell r="A109" t="str">
            <v>TUBERIA PVC CUADRADA 6CMX6CMX3M</v>
          </cell>
          <cell r="B109" t="str">
            <v>UND</v>
          </cell>
          <cell r="C109">
            <v>48000</v>
          </cell>
          <cell r="F109">
            <v>48000</v>
          </cell>
        </row>
        <row r="110">
          <cell r="A110" t="str">
            <v>TUBO PRESIÓN DE 1/2" RDE 9 X 6M</v>
          </cell>
          <cell r="B110" t="str">
            <v>UND</v>
          </cell>
          <cell r="D110">
            <v>22000</v>
          </cell>
          <cell r="F110">
            <v>22000</v>
          </cell>
        </row>
      </sheetData>
      <sheetData sheetId="6"/>
      <sheetData sheetId="7">
        <row r="48">
          <cell r="H48">
            <v>106831</v>
          </cell>
        </row>
      </sheetData>
      <sheetData sheetId="8">
        <row r="48">
          <cell r="H48">
            <v>152644</v>
          </cell>
        </row>
      </sheetData>
      <sheetData sheetId="9">
        <row r="48">
          <cell r="H48">
            <v>330681</v>
          </cell>
        </row>
      </sheetData>
      <sheetData sheetId="10">
        <row r="48">
          <cell r="H48">
            <v>61440</v>
          </cell>
        </row>
      </sheetData>
      <sheetData sheetId="11">
        <row r="48">
          <cell r="H48">
            <v>141273</v>
          </cell>
        </row>
      </sheetData>
      <sheetData sheetId="12">
        <row r="48">
          <cell r="H48">
            <v>22913</v>
          </cell>
        </row>
      </sheetData>
      <sheetData sheetId="13">
        <row r="48">
          <cell r="H48">
            <v>32597</v>
          </cell>
        </row>
      </sheetData>
      <sheetData sheetId="14">
        <row r="48">
          <cell r="H48">
            <v>86053</v>
          </cell>
        </row>
      </sheetData>
      <sheetData sheetId="15">
        <row r="48">
          <cell r="H48">
            <v>38921</v>
          </cell>
        </row>
      </sheetData>
      <sheetData sheetId="16">
        <row r="14">
          <cell r="F14">
            <v>116666.66666666667</v>
          </cell>
        </row>
        <row r="31">
          <cell r="F31">
            <v>198333.33333333334</v>
          </cell>
        </row>
      </sheetData>
      <sheetData sheetId="17"/>
      <sheetData sheetId="18">
        <row r="3">
          <cell r="D3" t="str">
            <v>CONSTRUCCIÓN DE PARQUE BIOSALUDABLE EN EL BARRIO LOS CAMBULOS DEL MUNICIPIO DE RIOBLANCO TOLIMA</v>
          </cell>
        </row>
        <row r="4">
          <cell r="C4" t="str">
            <v>ITEM</v>
          </cell>
          <cell r="D4" t="str">
            <v>DESCRIPCION</v>
          </cell>
        </row>
        <row r="5">
          <cell r="C5">
            <v>1</v>
          </cell>
          <cell r="D5" t="str">
            <v>PRELIMINARES (P)</v>
          </cell>
        </row>
        <row r="6">
          <cell r="C6">
            <v>1.01</v>
          </cell>
          <cell r="D6" t="str">
            <v>LOCALIZACIÓN Y REPLANTEO (AREA)</v>
          </cell>
        </row>
        <row r="7">
          <cell r="C7">
            <v>1.02</v>
          </cell>
          <cell r="D7" t="str">
            <v>DESCAPOTE MANUAL DE TERRENO E=0,15 CM, INCLUYE RETIRO</v>
          </cell>
        </row>
        <row r="8">
          <cell r="C8">
            <v>1.03</v>
          </cell>
          <cell r="D8" t="str">
            <v>EXCAVACIÓN MECANICA EN MATERIAL COMÚN</v>
          </cell>
        </row>
        <row r="9">
          <cell r="C9">
            <v>1.04</v>
          </cell>
          <cell r="D9" t="str">
            <v>RELLENO EN RECEBO COMPACTADO</v>
          </cell>
        </row>
        <row r="10">
          <cell r="C10">
            <v>1.05</v>
          </cell>
          <cell r="D10" t="str">
            <v>DESMONTE DE CUBIERTA EXISTENTE</v>
          </cell>
        </row>
        <row r="11">
          <cell r="C11">
            <v>2</v>
          </cell>
          <cell r="D11" t="str">
            <v>OBRAS DE CONTENCIÓN, ESTABILIZACIÓN Y PISOS</v>
          </cell>
        </row>
        <row r="12">
          <cell r="C12">
            <v>2.0099999999999998</v>
          </cell>
          <cell r="D12" t="str">
            <v>MURO EN GAVIÓN CON MALLA DOBLE TORSIÓN CAL. 13</v>
          </cell>
        </row>
        <row r="13">
          <cell r="C13">
            <v>2.0199999999999996</v>
          </cell>
          <cell r="D13" t="str">
            <v xml:space="preserve">SUMINISTRO E INSTALACIÓN DE GEOTEXTIL NT1600S </v>
          </cell>
        </row>
        <row r="14">
          <cell r="C14">
            <v>2.0299999999999994</v>
          </cell>
          <cell r="D14" t="str">
            <v>PLACA CONCRETO 3.000 PSI E=10CM</v>
          </cell>
        </row>
        <row r="15">
          <cell r="C15">
            <v>2.0399999999999991</v>
          </cell>
          <cell r="D15" t="str">
            <v>CANAL EN CONCRETO 3.000 PSI SECCIÓN TRAPEZOIDAL A1=50CM, A2=30CM Y H=15 CM, ESPESOR 10 CM</v>
          </cell>
        </row>
        <row r="16">
          <cell r="C16">
            <v>2.0499999999999989</v>
          </cell>
          <cell r="D16" t="str">
            <v>ADOQUIN INDUPISO PIZARRA O SIMILAR COLOR ARENA (20X20X8)</v>
          </cell>
        </row>
        <row r="17">
          <cell r="C17">
            <v>2.0599999999999987</v>
          </cell>
          <cell r="D17" t="str">
            <v>RECUBRIMIENTO DE TRUFLEX ANTIDESLIZANTE DE 3 CAPAS  (UNA BASE DE CUARZO Y DOS CAPAS DE COLOR) PARA ZONA EQUIPOS BIOSALUDABLES Y PARQUE INFANTIL.</v>
          </cell>
        </row>
        <row r="18">
          <cell r="C18">
            <v>2.0699999999999985</v>
          </cell>
          <cell r="D18" t="str">
            <v>CONSTRUCCIÓN DE SARDINEL INSITU E=0,15 M H=0,45M, CONCRETO 3.000 PSI (INCLUYE REFUERZO)</v>
          </cell>
        </row>
        <row r="19">
          <cell r="C19">
            <v>2</v>
          </cell>
          <cell r="D19" t="str">
            <v>JUEGO INFANTIL Y PARQUE BIOSALUDABLE</v>
          </cell>
        </row>
        <row r="20">
          <cell r="C20">
            <v>2.0099999999999998</v>
          </cell>
          <cell r="D20" t="str">
            <v>PARQUE INFANTIL DE  PLATAFORMAS CON TUNEL COMUNICANTE, RODADERO CERRADO, ESPIRAL Y DOBLE, ESCALERAS METALICAS DE ACCESO, COLUMPIOS, DOS TECHOS Y ACCESORIOS. AREA (9X6,40MTS)</v>
          </cell>
        </row>
        <row r="21">
          <cell r="C21">
            <v>2.0199999999999996</v>
          </cell>
          <cell r="D21" t="str">
            <v>SUMINISTRO E INSTALACION DE MAQUINA BIOSALUDABLE BANCO DOBLE ABDOMINAL DE 1.9x1.2x0,7  CON CERTIFICADO TUV GS, ISO 9000 Y DEMAS NORMAS APLICABLES - INCLUYE TODO PARA SU CORRECTO FUNCIONAMIENTO.</v>
          </cell>
        </row>
        <row r="22">
          <cell r="C22">
            <v>2.0299999999999994</v>
          </cell>
          <cell r="D22" t="str">
            <v>SUMINISTRO E INSTALACION DE MAQUINA BIOSALUDABLE DOBLE DORSAL ANCHO DE XXXXX CON CERTIFICADO TUV GS, ISO 9000 Y DEMAS NORMAS APLICABLES - INCLUYE TODO PARA SU CORRECTO FUNCIONAMIENTO.</v>
          </cell>
        </row>
        <row r="23">
          <cell r="C23">
            <v>2.0399999999999991</v>
          </cell>
          <cell r="D23" t="str">
            <v>SUMINISTRO E INSTALACION DE MAQUINA BIOSALUDABLE CABALLO BIOSALUDABLE DE XXXXX CON CERTIFICADO TUV GS, ISO 9000 Y DEMAS NORMAS APLICABLES - INCLUYE TODO PARA SU CORRECTO FUNCIONAMIENTO.</v>
          </cell>
        </row>
        <row r="24">
          <cell r="C24">
            <v>2.0499999999999989</v>
          </cell>
          <cell r="D24" t="str">
            <v xml:space="preserve">SUMINISTRO E INSTALACION DE MAQUINA BIOSALUDABLE BICICLETA DE 1,20X0,58X1,45 M. CON CERTIFICADO TUV GS, ISO 9000 Y DEMAS NORMAS APLICABLES - INCLUYE TODO PARA SU CORRECTO FUNCIONAMIENTO </v>
          </cell>
        </row>
        <row r="25">
          <cell r="C25">
            <v>2.0599999999999987</v>
          </cell>
          <cell r="D25" t="str">
            <v>SUMINISTRO E INSTALACION DE MAQUINA BIOSALUDABLE CAMINADOR AEREO DE 0,45X1,20X1,30 M. CON CERTIFICADO TUV GS, ISO 9000 Y DEMAS NORMAS APLICABLES - INCLUYE TODO PARA SU CORRECTO FUNCIONAMIENTO</v>
          </cell>
        </row>
        <row r="26">
          <cell r="C26">
            <v>2.0699999999999985</v>
          </cell>
          <cell r="D26" t="str">
            <v xml:space="preserve">SUMINISTRO E INSTALACION DE MAQUINA BIOSALUDABLE REMO DE 1,10X0,75X1,14 M. CON CERTIFICADO TUV GS, ISO 9000 Y DEMAS NORMAS APLICABLES - INCLUYE TODO PARA SU CORRECTO FUNCIONAMIENTO </v>
          </cell>
        </row>
        <row r="27">
          <cell r="C27">
            <v>2.0799999999999983</v>
          </cell>
          <cell r="D27" t="str">
            <v xml:space="preserve">SUMINISTRO E INSTALACION DE MAQUINA BIOSALUDABLE REMO DE 1,10X0,75X1,14 M. CON CERTIFICADO TUV GS, ISO 9000 Y DEMAS NORMAS APLICABLES - INCLUYE TODO PARA SU CORRECTO FUNCIONAMIENTO </v>
          </cell>
        </row>
        <row r="28">
          <cell r="C28">
            <v>3</v>
          </cell>
          <cell r="D28" t="str">
            <v>ELECTRICIDAD E ILUMINACION</v>
          </cell>
        </row>
        <row r="29">
          <cell r="C29">
            <v>3.01</v>
          </cell>
          <cell r="D29" t="str">
            <v>SUMINISTRO E INSTALACIÓN DE LUMINARIA EXTERIOR TIPO ROMBO SOLAR UF 20</v>
          </cell>
        </row>
        <row r="30">
          <cell r="C30">
            <v>3.0199999999999996</v>
          </cell>
          <cell r="D30" t="str">
            <v>RED ELECTRICA EN CABLE N°12 Y TUBO EMT 1/2" PVC</v>
          </cell>
        </row>
        <row r="42">
          <cell r="D42" t="str">
            <v xml:space="preserve">       ___________________________________________</v>
          </cell>
        </row>
        <row r="43">
          <cell r="D43" t="str">
            <v xml:space="preserve">            VoBo ARQ. LINA MARITZA BOCANEGRA QUINTERO</v>
          </cell>
        </row>
        <row r="44">
          <cell r="D44" t="str">
            <v xml:space="preserve">             Secretaria de Planeación e Infraestructura</v>
          </cell>
        </row>
      </sheetData>
      <sheetData sheetId="19">
        <row r="48">
          <cell r="H48">
            <v>118313</v>
          </cell>
        </row>
      </sheetData>
      <sheetData sheetId="20">
        <row r="48">
          <cell r="H48">
            <v>54084</v>
          </cell>
        </row>
      </sheetData>
      <sheetData sheetId="21">
        <row r="48">
          <cell r="H48">
            <v>148953</v>
          </cell>
        </row>
      </sheetData>
      <sheetData sheetId="22">
        <row r="48">
          <cell r="H48">
            <v>17543</v>
          </cell>
        </row>
      </sheetData>
      <sheetData sheetId="23">
        <row r="48">
          <cell r="H48">
            <v>501872</v>
          </cell>
        </row>
      </sheetData>
      <sheetData sheetId="24">
        <row r="48">
          <cell r="H48" t="e">
            <v>#N/A</v>
          </cell>
        </row>
      </sheetData>
      <sheetData sheetId="25">
        <row r="48">
          <cell r="H48">
            <v>30981</v>
          </cell>
        </row>
      </sheetData>
      <sheetData sheetId="26">
        <row r="48">
          <cell r="H48">
            <v>21814875</v>
          </cell>
        </row>
      </sheetData>
      <sheetData sheetId="27">
        <row r="48">
          <cell r="H48">
            <v>888031</v>
          </cell>
        </row>
      </sheetData>
      <sheetData sheetId="28">
        <row r="48">
          <cell r="H48">
            <v>27168</v>
          </cell>
        </row>
      </sheetData>
      <sheetData sheetId="29">
        <row r="48">
          <cell r="H48">
            <v>40578</v>
          </cell>
        </row>
      </sheetData>
      <sheetData sheetId="30">
        <row r="48">
          <cell r="H48">
            <v>40595</v>
          </cell>
        </row>
      </sheetData>
      <sheetData sheetId="31">
        <row r="48">
          <cell r="H48">
            <v>41903</v>
          </cell>
        </row>
      </sheetData>
      <sheetData sheetId="32">
        <row r="48">
          <cell r="H48">
            <v>33203</v>
          </cell>
        </row>
      </sheetData>
      <sheetData sheetId="33">
        <row r="48">
          <cell r="H48">
            <v>72187</v>
          </cell>
        </row>
      </sheetData>
      <sheetData sheetId="34">
        <row r="48">
          <cell r="H48">
            <v>47287</v>
          </cell>
        </row>
      </sheetData>
      <sheetData sheetId="35">
        <row r="48">
          <cell r="H48">
            <v>65187</v>
          </cell>
        </row>
      </sheetData>
      <sheetData sheetId="36">
        <row r="48">
          <cell r="H48">
            <v>2155825</v>
          </cell>
        </row>
      </sheetData>
      <sheetData sheetId="37">
        <row r="48">
          <cell r="H48">
            <v>1547295</v>
          </cell>
        </row>
      </sheetData>
      <sheetData sheetId="38">
        <row r="48">
          <cell r="H48">
            <v>20303</v>
          </cell>
        </row>
      </sheetData>
      <sheetData sheetId="39">
        <row r="48">
          <cell r="H48">
            <v>81744</v>
          </cell>
        </row>
      </sheetData>
      <sheetData sheetId="40">
        <row r="48">
          <cell r="H48">
            <v>104244</v>
          </cell>
        </row>
      </sheetData>
      <sheetData sheetId="41">
        <row r="48">
          <cell r="H48">
            <v>185875</v>
          </cell>
        </row>
      </sheetData>
      <sheetData sheetId="42">
        <row r="48">
          <cell r="H48">
            <v>350686</v>
          </cell>
        </row>
      </sheetData>
      <sheetData sheetId="43">
        <row r="48">
          <cell r="H48">
            <v>152931</v>
          </cell>
        </row>
      </sheetData>
      <sheetData sheetId="44">
        <row r="48">
          <cell r="H48">
            <v>81744</v>
          </cell>
        </row>
      </sheetData>
      <sheetData sheetId="45">
        <row r="48">
          <cell r="H48">
            <v>185875</v>
          </cell>
        </row>
      </sheetData>
      <sheetData sheetId="46">
        <row r="48">
          <cell r="H48">
            <v>378563</v>
          </cell>
        </row>
      </sheetData>
      <sheetData sheetId="47">
        <row r="48">
          <cell r="H48">
            <v>929939</v>
          </cell>
        </row>
      </sheetData>
      <sheetData sheetId="48">
        <row r="48">
          <cell r="H48">
            <v>537446</v>
          </cell>
        </row>
      </sheetData>
      <sheetData sheetId="49">
        <row r="48">
          <cell r="H48">
            <v>1325151</v>
          </cell>
        </row>
      </sheetData>
      <sheetData sheetId="50">
        <row r="48">
          <cell r="H48">
            <v>32289</v>
          </cell>
        </row>
      </sheetData>
      <sheetData sheetId="51">
        <row r="48">
          <cell r="H48">
            <v>105654</v>
          </cell>
        </row>
      </sheetData>
      <sheetData sheetId="52">
        <row r="48">
          <cell r="H48">
            <v>53732</v>
          </cell>
        </row>
      </sheetData>
      <sheetData sheetId="53">
        <row r="48">
          <cell r="H48">
            <v>74576</v>
          </cell>
        </row>
      </sheetData>
      <sheetData sheetId="54">
        <row r="48">
          <cell r="H48">
            <v>30640</v>
          </cell>
        </row>
      </sheetData>
      <sheetData sheetId="55">
        <row r="48">
          <cell r="H48">
            <v>33165</v>
          </cell>
        </row>
      </sheetData>
      <sheetData sheetId="56">
        <row r="48">
          <cell r="H48">
            <v>1342397</v>
          </cell>
        </row>
      </sheetData>
      <sheetData sheetId="57">
        <row r="48">
          <cell r="H48">
            <v>126819</v>
          </cell>
        </row>
      </sheetData>
      <sheetData sheetId="58">
        <row r="48">
          <cell r="H48">
            <v>1111084</v>
          </cell>
        </row>
      </sheetData>
      <sheetData sheetId="59">
        <row r="48">
          <cell r="H48">
            <v>10449</v>
          </cell>
        </row>
      </sheetData>
      <sheetData sheetId="60">
        <row r="48">
          <cell r="H48">
            <v>14102</v>
          </cell>
        </row>
      </sheetData>
      <sheetData sheetId="61">
        <row r="48">
          <cell r="H48">
            <v>20161</v>
          </cell>
        </row>
      </sheetData>
      <sheetData sheetId="62">
        <row r="48">
          <cell r="H48">
            <v>89850</v>
          </cell>
        </row>
      </sheetData>
      <sheetData sheetId="63">
        <row r="48">
          <cell r="H48">
            <v>91611</v>
          </cell>
        </row>
      </sheetData>
      <sheetData sheetId="64">
        <row r="48">
          <cell r="H48">
            <v>21848</v>
          </cell>
        </row>
      </sheetData>
      <sheetData sheetId="65">
        <row r="48">
          <cell r="H48">
            <v>16395</v>
          </cell>
        </row>
      </sheetData>
      <sheetData sheetId="66">
        <row r="48">
          <cell r="H48">
            <v>16372</v>
          </cell>
        </row>
      </sheetData>
      <sheetData sheetId="67">
        <row r="48">
          <cell r="H48">
            <v>129294</v>
          </cell>
        </row>
      </sheetData>
      <sheetData sheetId="68">
        <row r="48">
          <cell r="H48">
            <v>71344</v>
          </cell>
        </row>
      </sheetData>
      <sheetData sheetId="69">
        <row r="48">
          <cell r="H48">
            <v>71941</v>
          </cell>
        </row>
      </sheetData>
      <sheetData sheetId="70">
        <row r="48">
          <cell r="H48">
            <v>143058</v>
          </cell>
        </row>
      </sheetData>
      <sheetData sheetId="71">
        <row r="48">
          <cell r="H48">
            <v>108719</v>
          </cell>
        </row>
      </sheetData>
      <sheetData sheetId="72">
        <row r="45">
          <cell r="H45">
            <v>102188</v>
          </cell>
        </row>
      </sheetData>
      <sheetData sheetId="73">
        <row r="45">
          <cell r="H45">
            <v>199216</v>
          </cell>
        </row>
      </sheetData>
      <sheetData sheetId="74">
        <row r="45">
          <cell r="H45">
            <v>210966</v>
          </cell>
        </row>
      </sheetData>
      <sheetData sheetId="75">
        <row r="48">
          <cell r="H48">
            <v>20830</v>
          </cell>
        </row>
      </sheetData>
      <sheetData sheetId="76">
        <row r="48">
          <cell r="H48">
            <v>12504</v>
          </cell>
        </row>
      </sheetData>
      <sheetData sheetId="77">
        <row r="48">
          <cell r="H48">
            <v>158481</v>
          </cell>
        </row>
      </sheetData>
      <sheetData sheetId="78">
        <row r="48">
          <cell r="H48">
            <v>30161</v>
          </cell>
        </row>
      </sheetData>
      <sheetData sheetId="79">
        <row r="48">
          <cell r="H48">
            <v>75162</v>
          </cell>
        </row>
      </sheetData>
      <sheetData sheetId="80">
        <row r="48">
          <cell r="H48">
            <v>50982</v>
          </cell>
        </row>
      </sheetData>
      <sheetData sheetId="81">
        <row r="48">
          <cell r="H48">
            <v>4477</v>
          </cell>
        </row>
      </sheetData>
      <sheetData sheetId="82">
        <row r="48">
          <cell r="H48">
            <v>93559</v>
          </cell>
        </row>
      </sheetData>
      <sheetData sheetId="83">
        <row r="48">
          <cell r="H48">
            <v>388247</v>
          </cell>
        </row>
      </sheetData>
      <sheetData sheetId="84">
        <row r="45">
          <cell r="H45">
            <v>41022</v>
          </cell>
        </row>
      </sheetData>
      <sheetData sheetId="85">
        <row r="48">
          <cell r="H48">
            <v>16553</v>
          </cell>
        </row>
      </sheetData>
      <sheetData sheetId="86">
        <row r="48">
          <cell r="H48">
            <v>719688</v>
          </cell>
        </row>
      </sheetData>
      <sheetData sheetId="87">
        <row r="48">
          <cell r="H48">
            <v>29966</v>
          </cell>
        </row>
      </sheetData>
      <sheetData sheetId="88">
        <row r="48">
          <cell r="H48">
            <v>42831</v>
          </cell>
        </row>
      </sheetData>
      <sheetData sheetId="89"/>
      <sheetData sheetId="9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BD227EE-FE8E-4E5A-940F-AA5695F3261B}" name="LIST3" displayName="LIST3" ref="A1:D141" totalsRowShown="0">
  <autoFilter ref="A1:D141" xr:uid="{0C88CDAA-75F8-4F83-89D7-0D57BC1BAF36}"/>
  <tableColumns count="4">
    <tableColumn id="1" xr3:uid="{C5DF3F4B-FCE3-409A-B126-F49C9A3C72F9}" name="ID" dataDxfId="43"/>
    <tableColumn id="2" xr3:uid="{07298C40-3C53-4A01-959C-55D299BB22C5}" name="DESCRIPCIÓN" dataDxfId="42"/>
    <tableColumn id="3" xr3:uid="{B40AEC57-130C-43E5-A075-09E365C150A7}" name="UNIDAD" dataDxfId="41"/>
    <tableColumn id="4" xr3:uid="{D99F0C0C-5A5F-4FB2-AA08-D007E97A357B}" name="V/UNIT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99636D6-F81A-4FD4-9F4E-D3B18112CA0F}" name="LIST2" displayName="LIST2" ref="A1:D133" totalsRowShown="0">
  <autoFilter ref="A1:D133" xr:uid="{0C88CDAA-75F8-4F83-89D7-0D57BC1BAF36}"/>
  <tableColumns count="4">
    <tableColumn id="1" xr3:uid="{F1A9EDEC-BF4D-44CD-9536-935D03E2E34E}" name="ID" dataDxfId="39"/>
    <tableColumn id="2" xr3:uid="{A5093037-BCD2-44CF-A9FA-7D9A61F8B7C5}" name="DESCRIPCIÓN" dataDxfId="38"/>
    <tableColumn id="3" xr3:uid="{0D8B788E-9325-4B4C-9433-34138E549683}" name="UNIDAD" dataDxfId="37"/>
    <tableColumn id="4" xr3:uid="{1F270363-33DE-47E2-A590-83280CCAA871}" name="V/UNIT" dataDxfId="3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88CDAA-75F8-4F83-89D7-0D57BC1BAF36}" name="LIST" displayName="LIST" ref="A1:D85" totalsRowShown="0">
  <autoFilter ref="A1:D85" xr:uid="{0C88CDAA-75F8-4F83-89D7-0D57BC1BAF36}"/>
  <tableColumns count="4">
    <tableColumn id="1" xr3:uid="{47E94944-B9E7-43FA-9206-A5D0BF8295A9}" name="ID" dataDxfId="35"/>
    <tableColumn id="2" xr3:uid="{1BA23BCE-EAAC-4216-8C65-E7AABB82A1AC}" name="DESCRIPCIÓN" dataDxfId="34"/>
    <tableColumn id="3" xr3:uid="{14640AC6-5B61-4330-9B63-7A08BB6FE905}" name="UNIDAD" dataDxfId="33"/>
    <tableColumn id="4" xr3:uid="{BEC4136E-92DC-4033-8313-CB865834296A}" name="V/UNIT" dataDxfId="3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EDB659-CA0C-483F-84C3-65C1014FE8B1}" name="REND" displayName="REND" ref="A1:I75" totalsRowShown="0" headerRowDxfId="31" headerRowBorderDxfId="30" tableBorderDxfId="29" headerRowCellStyle="Millares">
  <autoFilter ref="A1:I75" xr:uid="{6EEDB659-CA0C-483F-84C3-65C1014FE8B1}"/>
  <tableColumns count="9">
    <tableColumn id="9" xr3:uid="{F97E50BA-BBBE-45FF-AC6C-9A61B1421B45}" name="ID" dataDxfId="28">
      <calculatedColumnFormula>+LIST!A1</calculatedColumnFormula>
    </tableColumn>
    <tableColumn id="1" xr3:uid="{67EAA729-B48D-4A53-BDF8-1204F3206B05}" name="DESCRIPCIÓN" dataDxfId="27"/>
    <tableColumn id="2" xr3:uid="{E20CCBDD-B885-4E60-BC7A-4118A8507EEE}" name="UND" dataDxfId="26"/>
    <tableColumn id="3" xr3:uid="{FB5535A5-75AC-446F-9CD0-8EBEE868EACA}" name="TRABAJO" dataDxfId="25"/>
    <tableColumn id="4" xr3:uid="{488B85C6-8013-4E7D-A940-0AC08931625A}" name="RENDIMIENTO (1)" dataDxfId="24" dataCellStyle="Millares"/>
    <tableColumn id="5" xr3:uid="{F14153EF-5BDF-49F1-AB45-B4516F7608AA}" name="RENDIMIENTO (2)" dataDxfId="23" dataCellStyle="Moneda"/>
    <tableColumn id="6" xr3:uid="{6BF70F80-6D08-4F8B-BC7D-EEE517186617}" name="RENDIMIENTO (3)" dataDxfId="22"/>
    <tableColumn id="7" xr3:uid="{2D8E661E-7B3B-477E-8B07-D4E47B8CD000}" name="RENDIMIENTO (4)" dataDxfId="21">
      <calculatedColumnFormula>+AVERAGE(E2:G2)</calculatedColumnFormula>
    </tableColumn>
    <tableColumn id="8" xr3:uid="{876DFDAE-2032-4B42-B539-2F4B32E96B9E}" name="RENDIMIENTO (5)" dataDxfId="2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AD11DC9-2FF1-46EE-AF37-83DA75637DB9}" name="EQUI" displayName="EQUI" ref="A1:G38" totalsRowShown="0" headerRowBorderDxfId="19" tableBorderDxfId="18" totalsRowBorderDxfId="17">
  <autoFilter ref="A1:G38" xr:uid="{3AD11DC9-2FF1-46EE-AF37-83DA75637DB9}"/>
  <tableColumns count="7">
    <tableColumn id="1" xr3:uid="{6B6632AE-AAD0-48E1-98CB-1F6D5495D968}" name="DESCRIPCIÓN" dataDxfId="16"/>
    <tableColumn id="2" xr3:uid="{F7F3D540-1470-4EA5-861F-04B1ABB81CB6}" name="UNIDAD" dataDxfId="15"/>
    <tableColumn id="3" xr3:uid="{02E8CAD6-7C5C-4356-B85E-2104948F4DFA}" name="VALOR" dataDxfId="14"/>
    <tableColumn id="4" xr3:uid="{C18AD172-6FD5-485D-97A9-234F11689609}" name="SITIO 2" dataDxfId="13" dataCellStyle="Moneda"/>
    <tableColumn id="5" xr3:uid="{FE396C6E-2CFB-4196-94FD-7D912FC510D6}" name="RENDIMIENTO" dataDxfId="12"/>
    <tableColumn id="6" xr3:uid="{AD0D212C-3324-407D-834B-42D0FBC08883}" name="PROMEDIO" dataDxfId="11">
      <calculatedColumnFormula>+AVERAGE(C2:E2)</calculatedColumnFormula>
    </tableColumn>
    <tableColumn id="7" xr3:uid="{2724B2CF-2F9B-4E96-A742-ECF9055A1FEA}" name="DISTANCIA KM" dataDxfId="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5F3BFC-5D77-4F94-9D71-60BAA3E94701}" name="INS" displayName="INS" ref="A1:H106" totalsRowShown="0" headerRowBorderDxfId="9" tableBorderDxfId="8" totalsRowBorderDxfId="7">
  <autoFilter ref="A1:H106" xr:uid="{FC5F3BFC-5D77-4F94-9D71-60BAA3E94701}"/>
  <sortState xmlns:xlrd2="http://schemas.microsoft.com/office/spreadsheetml/2017/richdata2" ref="A2:H89">
    <sortCondition ref="A1:A89"/>
  </sortState>
  <tableColumns count="8">
    <tableColumn id="1" xr3:uid="{20CD2E01-E453-4D47-AF61-6892AB6E8D5B}" name="DESCRIPCIÓN" dataDxfId="6"/>
    <tableColumn id="2" xr3:uid="{6D931800-0FB0-495F-91FE-EB52D5B35C0B}" name="UNIDAD" dataDxfId="5"/>
    <tableColumn id="3" xr3:uid="{89D71853-AB42-4934-B980-64FD8C2CEFDC}" name="COTIZACION 1 (HOMECENTER)" dataDxfId="4" dataCellStyle="Moneda"/>
    <tableColumn id="4" xr3:uid="{FC7B88E5-9113-4BDD-960A-20243E901D10}" name="COTIZACION 2" dataDxfId="3" dataCellStyle="Moneda"/>
    <tableColumn id="5" xr3:uid="{1AFEF93C-9812-4B01-BF6D-A2ACE619CE9B}" name="COTIZACION 3" dataDxfId="2"/>
    <tableColumn id="6" xr3:uid="{1D2852CA-3E3D-47B1-AEEF-391B0B1BE7A9}" name="PROMEDIO" dataDxfId="1">
      <calculatedColumnFormula>+ROUND(AVERAGE(C2:E2),0)</calculatedColumnFormula>
    </tableColumn>
    <tableColumn id="7" xr3:uid="{57101022-F228-4585-8602-16B316035A85}" name="DISTANCIA KM" dataDxfId="0"/>
    <tableColumn id="8" xr3:uid="{8FF115A8-A957-4773-AE0D-48ED7CDBDA4B}" name="RENDIMIENTO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270A7-92D0-4CCA-9710-C015E32EB0E7}">
  <dimension ref="A1:G141"/>
  <sheetViews>
    <sheetView topLeftCell="A54" workbookViewId="0">
      <selection activeCell="B66" sqref="B66"/>
    </sheetView>
  </sheetViews>
  <sheetFormatPr baseColWidth="10" defaultRowHeight="14.4"/>
  <cols>
    <col min="1" max="1" width="11.5546875" style="127"/>
    <col min="2" max="2" width="63.33203125" customWidth="1"/>
    <col min="4" max="4" width="16" customWidth="1"/>
  </cols>
  <sheetData>
    <row r="1" spans="1:6" ht="17.25" customHeight="1">
      <c r="A1" s="127" t="s">
        <v>381</v>
      </c>
      <c r="B1" s="292" t="s">
        <v>371</v>
      </c>
      <c r="C1" s="280" t="s">
        <v>28</v>
      </c>
      <c r="D1" s="281" t="s">
        <v>388</v>
      </c>
    </row>
    <row r="2" spans="1:6" s="144" customFormat="1">
      <c r="A2" s="282" t="s">
        <v>385</v>
      </c>
      <c r="B2" s="283" t="s">
        <v>383</v>
      </c>
      <c r="C2" s="284"/>
      <c r="D2" s="331"/>
    </row>
    <row r="3" spans="1:6">
      <c r="A3" s="285" t="s">
        <v>382</v>
      </c>
      <c r="B3" s="124" t="s">
        <v>601</v>
      </c>
      <c r="C3" s="127" t="s">
        <v>9</v>
      </c>
      <c r="D3" s="332">
        <f>+'[1]P-0001'!H48</f>
        <v>42831</v>
      </c>
      <c r="F3" t="str">
        <f>+TEXT(LIST3[[#This Row],[ID]],"XXXXXX")</f>
        <v>P-0001</v>
      </c>
    </row>
    <row r="4" spans="1:6" ht="28.8">
      <c r="A4" s="285" t="s">
        <v>389</v>
      </c>
      <c r="B4" s="286" t="s">
        <v>690</v>
      </c>
      <c r="C4" s="287" t="s">
        <v>9</v>
      </c>
      <c r="D4" s="332">
        <f>+'[1]P-0002'!H48</f>
        <v>29966</v>
      </c>
    </row>
    <row r="5" spans="1:6">
      <c r="A5" s="285" t="s">
        <v>390</v>
      </c>
      <c r="B5" s="286" t="s">
        <v>316</v>
      </c>
      <c r="C5" s="287" t="s">
        <v>295</v>
      </c>
      <c r="D5" s="332">
        <f>+'[1]P-0003'!H48</f>
        <v>719688</v>
      </c>
    </row>
    <row r="6" spans="1:6">
      <c r="A6" s="285" t="s">
        <v>391</v>
      </c>
      <c r="B6" s="286" t="s">
        <v>315</v>
      </c>
      <c r="C6" s="287" t="s">
        <v>9</v>
      </c>
      <c r="D6" s="332">
        <f>+'[1]P-0004'!H48</f>
        <v>16553</v>
      </c>
    </row>
    <row r="7" spans="1:6">
      <c r="A7" s="285" t="s">
        <v>392</v>
      </c>
      <c r="B7" s="286" t="s">
        <v>400</v>
      </c>
      <c r="C7" s="287" t="s">
        <v>11</v>
      </c>
      <c r="D7" s="332">
        <f>+'[1]P-0005'!H45</f>
        <v>41022</v>
      </c>
    </row>
    <row r="8" spans="1:6">
      <c r="A8" s="285" t="s">
        <v>393</v>
      </c>
      <c r="B8" s="286" t="s">
        <v>312</v>
      </c>
      <c r="C8" s="287" t="s">
        <v>11</v>
      </c>
      <c r="D8" s="332">
        <f>+'[1]P-0006'!H48</f>
        <v>388247</v>
      </c>
    </row>
    <row r="9" spans="1:6">
      <c r="A9" s="285" t="s">
        <v>415</v>
      </c>
      <c r="B9" s="286" t="s">
        <v>413</v>
      </c>
      <c r="C9" s="287" t="s">
        <v>5</v>
      </c>
      <c r="D9" s="332">
        <f>+'[1]P-0007'!H48</f>
        <v>93559</v>
      </c>
    </row>
    <row r="10" spans="1:6">
      <c r="A10" s="285" t="s">
        <v>535</v>
      </c>
      <c r="B10" s="286" t="s">
        <v>536</v>
      </c>
      <c r="C10" s="287" t="s">
        <v>9</v>
      </c>
      <c r="D10" s="332">
        <f>+'[1]P-0008'!H48</f>
        <v>4477</v>
      </c>
    </row>
    <row r="11" spans="1:6">
      <c r="A11" s="285" t="s">
        <v>537</v>
      </c>
      <c r="B11" s="286" t="s">
        <v>538</v>
      </c>
      <c r="C11" s="287" t="s">
        <v>9</v>
      </c>
      <c r="D11" s="332">
        <f>+'[1]P-0009'!H48</f>
        <v>50982</v>
      </c>
    </row>
    <row r="12" spans="1:6" ht="28.8">
      <c r="A12" s="285" t="s">
        <v>539</v>
      </c>
      <c r="B12" s="286" t="s">
        <v>540</v>
      </c>
      <c r="C12" s="287" t="s">
        <v>9</v>
      </c>
      <c r="D12" s="332">
        <f>+'[1]P-0010'!H48</f>
        <v>75162</v>
      </c>
    </row>
    <row r="13" spans="1:6">
      <c r="A13" s="285" t="s">
        <v>541</v>
      </c>
      <c r="B13" s="286" t="s">
        <v>542</v>
      </c>
      <c r="C13" s="287" t="s">
        <v>11</v>
      </c>
      <c r="D13" s="332">
        <f>+'[1]P-0011'!H48</f>
        <v>30161</v>
      </c>
    </row>
    <row r="14" spans="1:6">
      <c r="A14" s="285" t="s">
        <v>543</v>
      </c>
      <c r="B14" s="286" t="s">
        <v>544</v>
      </c>
      <c r="C14" s="287" t="s">
        <v>11</v>
      </c>
      <c r="D14" s="332">
        <f>+'[1]P-0012'!H48</f>
        <v>158481</v>
      </c>
    </row>
    <row r="15" spans="1:6">
      <c r="A15" s="285" t="s">
        <v>545</v>
      </c>
      <c r="B15" s="286" t="s">
        <v>546</v>
      </c>
      <c r="C15" s="287" t="s">
        <v>9</v>
      </c>
      <c r="D15" s="332">
        <f>+'[1]P-0013'!H48</f>
        <v>12504</v>
      </c>
    </row>
    <row r="16" spans="1:6">
      <c r="A16" s="285" t="s">
        <v>599</v>
      </c>
      <c r="B16" s="286" t="s">
        <v>598</v>
      </c>
      <c r="C16" s="287" t="s">
        <v>9</v>
      </c>
      <c r="D16" s="332">
        <f>+'[1]P-0014'!H48</f>
        <v>20830</v>
      </c>
    </row>
    <row r="17" spans="1:4">
      <c r="A17" s="285"/>
      <c r="B17" s="286"/>
      <c r="C17" s="287"/>
      <c r="D17" s="333"/>
    </row>
    <row r="18" spans="1:4">
      <c r="A18" s="285"/>
      <c r="B18" s="286"/>
      <c r="C18" s="287"/>
      <c r="D18" s="333"/>
    </row>
    <row r="19" spans="1:4">
      <c r="A19" s="285"/>
      <c r="B19" s="286"/>
      <c r="C19" s="287"/>
      <c r="D19" s="333"/>
    </row>
    <row r="20" spans="1:4" s="144" customFormat="1">
      <c r="A20" s="282" t="s">
        <v>386</v>
      </c>
      <c r="B20" s="283" t="s">
        <v>384</v>
      </c>
      <c r="C20" s="284"/>
      <c r="D20" s="331"/>
    </row>
    <row r="21" spans="1:4">
      <c r="A21" s="293" t="s">
        <v>395</v>
      </c>
      <c r="B21" s="89" t="s">
        <v>399</v>
      </c>
      <c r="C21" s="127" t="s">
        <v>9</v>
      </c>
      <c r="D21" s="332">
        <f>+'[1]PTA-001'!H45</f>
        <v>210966</v>
      </c>
    </row>
    <row r="22" spans="1:4" ht="17.25" customHeight="1">
      <c r="A22" s="293" t="s">
        <v>394</v>
      </c>
      <c r="B22" s="286" t="s">
        <v>317</v>
      </c>
      <c r="C22" s="127" t="s">
        <v>9</v>
      </c>
      <c r="D22" s="332">
        <f>+'[1]PTA-002'!H45</f>
        <v>199216</v>
      </c>
    </row>
    <row r="23" spans="1:4" ht="32.4" customHeight="1">
      <c r="A23" s="293" t="s">
        <v>396</v>
      </c>
      <c r="B23" s="320" t="s">
        <v>330</v>
      </c>
      <c r="C23" s="127" t="s">
        <v>5</v>
      </c>
      <c r="D23" s="332">
        <f>+'[1]PTA-003'!H45</f>
        <v>102188</v>
      </c>
    </row>
    <row r="24" spans="1:4" ht="32.4" customHeight="1">
      <c r="A24" s="293" t="s">
        <v>397</v>
      </c>
      <c r="B24" s="320" t="s">
        <v>380</v>
      </c>
      <c r="C24" s="127" t="s">
        <v>5</v>
      </c>
      <c r="D24" s="332">
        <f>+'[1]PTA-004'!H48</f>
        <v>108719</v>
      </c>
    </row>
    <row r="25" spans="1:4" ht="28.8">
      <c r="A25" s="293" t="s">
        <v>398</v>
      </c>
      <c r="B25" s="286" t="s">
        <v>459</v>
      </c>
      <c r="C25" s="127" t="s">
        <v>9</v>
      </c>
      <c r="D25" s="332">
        <f>+'[1]PTA-005'!H48</f>
        <v>143058</v>
      </c>
    </row>
    <row r="26" spans="1:4">
      <c r="A26" s="293" t="s">
        <v>401</v>
      </c>
      <c r="B26" s="286" t="s">
        <v>318</v>
      </c>
      <c r="C26" s="127" t="s">
        <v>293</v>
      </c>
      <c r="D26" s="332">
        <f>+'[1]PTA-006'!H48</f>
        <v>71941</v>
      </c>
    </row>
    <row r="27" spans="1:4">
      <c r="A27" s="293" t="s">
        <v>519</v>
      </c>
      <c r="B27" s="286" t="s">
        <v>518</v>
      </c>
      <c r="C27" s="148" t="s">
        <v>9</v>
      </c>
      <c r="D27" s="332">
        <f>+'[1]PTA-007'!H48</f>
        <v>71344</v>
      </c>
    </row>
    <row r="28" spans="1:4">
      <c r="A28" s="293" t="s">
        <v>580</v>
      </c>
      <c r="B28" s="286" t="s">
        <v>581</v>
      </c>
      <c r="C28" s="148" t="s">
        <v>9</v>
      </c>
      <c r="D28" s="332">
        <f>+'[1]PTA-008'!H48</f>
        <v>129294</v>
      </c>
    </row>
    <row r="29" spans="1:4">
      <c r="A29" s="293" t="s">
        <v>582</v>
      </c>
      <c r="B29" s="286" t="s">
        <v>583</v>
      </c>
      <c r="C29" s="148" t="s">
        <v>9</v>
      </c>
      <c r="D29" s="332">
        <f>+'[1]PTA-009'!H48</f>
        <v>16372</v>
      </c>
    </row>
    <row r="30" spans="1:4">
      <c r="A30" s="293" t="s">
        <v>584</v>
      </c>
      <c r="B30" s="413" t="s">
        <v>585</v>
      </c>
      <c r="C30" s="148" t="s">
        <v>9</v>
      </c>
      <c r="D30" s="332">
        <f>+'[1]PTA-010'!H48</f>
        <v>16395</v>
      </c>
    </row>
    <row r="31" spans="1:4">
      <c r="A31" s="293" t="s">
        <v>586</v>
      </c>
      <c r="B31" s="286" t="s">
        <v>587</v>
      </c>
      <c r="C31" s="148" t="s">
        <v>9</v>
      </c>
      <c r="D31" s="332">
        <f>+'[1]PTA-011'!H48</f>
        <v>21848</v>
      </c>
    </row>
    <row r="32" spans="1:4">
      <c r="A32" s="293" t="s">
        <v>588</v>
      </c>
      <c r="B32" s="286" t="s">
        <v>589</v>
      </c>
      <c r="C32" s="148" t="s">
        <v>9</v>
      </c>
      <c r="D32" s="332">
        <f>+'[1]PTA-012'!H48</f>
        <v>91611</v>
      </c>
    </row>
    <row r="33" spans="1:4">
      <c r="A33" s="293" t="s">
        <v>590</v>
      </c>
      <c r="B33" s="286" t="s">
        <v>591</v>
      </c>
      <c r="C33" s="148" t="s">
        <v>9</v>
      </c>
      <c r="D33" s="332">
        <f>+'[1]PTA-013'!H48</f>
        <v>89850</v>
      </c>
    </row>
    <row r="34" spans="1:4">
      <c r="A34" s="293" t="s">
        <v>592</v>
      </c>
      <c r="B34" s="286" t="s">
        <v>593</v>
      </c>
      <c r="C34" s="148" t="s">
        <v>9</v>
      </c>
      <c r="D34" s="332">
        <f>+'[1]PTA-014'!H48</f>
        <v>20161</v>
      </c>
    </row>
    <row r="35" spans="1:4">
      <c r="A35" s="293" t="s">
        <v>594</v>
      </c>
      <c r="B35" s="286" t="s">
        <v>595</v>
      </c>
      <c r="C35" s="148" t="s">
        <v>293</v>
      </c>
      <c r="D35" s="332">
        <f>+'[1]PTA-015'!H48</f>
        <v>14102</v>
      </c>
    </row>
    <row r="36" spans="1:4">
      <c r="A36" s="293" t="s">
        <v>596</v>
      </c>
      <c r="B36" s="286" t="s">
        <v>597</v>
      </c>
      <c r="C36" s="148" t="s">
        <v>9</v>
      </c>
      <c r="D36" s="332">
        <f>+'[1]PTA-016'!H48</f>
        <v>54084</v>
      </c>
    </row>
    <row r="37" spans="1:4" ht="43.2">
      <c r="A37" s="293" t="s">
        <v>602</v>
      </c>
      <c r="B37" s="286" t="s">
        <v>603</v>
      </c>
      <c r="C37" s="148" t="s">
        <v>9</v>
      </c>
      <c r="D37" s="332">
        <f>+'[1]PTA-017'!H48</f>
        <v>118313</v>
      </c>
    </row>
    <row r="38" spans="1:4" ht="57.6">
      <c r="A38" s="293" t="s">
        <v>604</v>
      </c>
      <c r="B38" s="286" t="s">
        <v>658</v>
      </c>
      <c r="C38" s="148" t="s">
        <v>9</v>
      </c>
      <c r="D38" s="332">
        <f>+'[1]PTA-018'!H48</f>
        <v>38921</v>
      </c>
    </row>
    <row r="39" spans="1:4">
      <c r="A39" s="293" t="s">
        <v>659</v>
      </c>
      <c r="B39" s="286" t="s">
        <v>660</v>
      </c>
      <c r="C39" s="148" t="s">
        <v>9</v>
      </c>
      <c r="D39" s="332">
        <f>+'[1]PTA-019'!H48</f>
        <v>86053</v>
      </c>
    </row>
    <row r="40" spans="1:4">
      <c r="A40" s="293" t="s">
        <v>661</v>
      </c>
      <c r="B40" s="286" t="s">
        <v>662</v>
      </c>
      <c r="C40" s="148" t="s">
        <v>9</v>
      </c>
      <c r="D40" s="332">
        <f>+'[1]PTA-020'!H48</f>
        <v>32597</v>
      </c>
    </row>
    <row r="41" spans="1:4">
      <c r="A41" s="293" t="s">
        <v>663</v>
      </c>
      <c r="B41" s="286" t="s">
        <v>664</v>
      </c>
      <c r="C41" s="148" t="s">
        <v>9</v>
      </c>
      <c r="D41" s="332">
        <f>+'[1]PTA-021'!H48</f>
        <v>22913</v>
      </c>
    </row>
    <row r="42" spans="1:4">
      <c r="A42" s="293"/>
      <c r="B42" s="286"/>
      <c r="C42" s="148"/>
      <c r="D42" s="333"/>
    </row>
    <row r="43" spans="1:4">
      <c r="A43" s="293"/>
      <c r="B43" s="286"/>
      <c r="C43" s="148"/>
      <c r="D43" s="333"/>
    </row>
    <row r="44" spans="1:4" s="144" customFormat="1">
      <c r="A44" s="282" t="s">
        <v>387</v>
      </c>
      <c r="B44" s="283" t="s">
        <v>403</v>
      </c>
      <c r="C44" s="284"/>
      <c r="D44" s="331"/>
    </row>
    <row r="45" spans="1:4">
      <c r="A45" s="330" t="s">
        <v>430</v>
      </c>
      <c r="B45" s="286" t="s">
        <v>74</v>
      </c>
      <c r="C45" s="127" t="s">
        <v>12</v>
      </c>
      <c r="D45" s="332">
        <f>+'[1]CMR-001'!H48</f>
        <v>10449</v>
      </c>
    </row>
    <row r="46" spans="1:4">
      <c r="A46" s="330" t="s">
        <v>431</v>
      </c>
      <c r="B46" s="89" t="s">
        <v>337</v>
      </c>
      <c r="C46" s="127" t="s">
        <v>11</v>
      </c>
      <c r="D46" s="332">
        <f>+'[1]CMR-002'!H48</f>
        <v>1111084</v>
      </c>
    </row>
    <row r="47" spans="1:4" ht="57.6">
      <c r="A47" s="127" t="s">
        <v>432</v>
      </c>
      <c r="B47" s="286" t="s">
        <v>481</v>
      </c>
      <c r="C47" s="288" t="s">
        <v>12</v>
      </c>
      <c r="D47" s="334"/>
    </row>
    <row r="48" spans="1:4">
      <c r="A48" s="330" t="s">
        <v>606</v>
      </c>
      <c r="B48" s="286" t="s">
        <v>607</v>
      </c>
      <c r="C48" s="288" t="s">
        <v>9</v>
      </c>
      <c r="D48" s="332">
        <f>+'[1]CMR-004'!H48</f>
        <v>126819</v>
      </c>
    </row>
    <row r="49" spans="1:4">
      <c r="A49" s="330" t="s">
        <v>608</v>
      </c>
      <c r="B49" s="286" t="s">
        <v>609</v>
      </c>
      <c r="C49" s="288" t="s">
        <v>11</v>
      </c>
      <c r="D49" s="332">
        <f>+'[1]CMR-005'!H48</f>
        <v>1342397</v>
      </c>
    </row>
    <row r="50" spans="1:4">
      <c r="A50" s="330" t="s">
        <v>610</v>
      </c>
      <c r="B50" s="286" t="s">
        <v>611</v>
      </c>
      <c r="C50" s="288" t="s">
        <v>11</v>
      </c>
      <c r="D50" s="332">
        <f>+'[1]CMR-006'!H48</f>
        <v>501872</v>
      </c>
    </row>
    <row r="51" spans="1:4">
      <c r="A51" s="330" t="s">
        <v>612</v>
      </c>
      <c r="B51" s="286" t="s">
        <v>613</v>
      </c>
      <c r="C51" s="288" t="s">
        <v>9</v>
      </c>
      <c r="D51" s="332">
        <f>+'[1]CMR-007'!H48</f>
        <v>17543</v>
      </c>
    </row>
    <row r="52" spans="1:4" ht="28.8">
      <c r="A52" s="330" t="s">
        <v>614</v>
      </c>
      <c r="B52" s="286" t="s">
        <v>665</v>
      </c>
      <c r="C52" s="288" t="s">
        <v>293</v>
      </c>
      <c r="D52" s="332">
        <f>+'[1]CMR-008'!H48</f>
        <v>141273</v>
      </c>
    </row>
    <row r="53" spans="1:4">
      <c r="A53" s="330" t="s">
        <v>666</v>
      </c>
      <c r="B53" s="286" t="s">
        <v>667</v>
      </c>
      <c r="C53" s="288" t="s">
        <v>293</v>
      </c>
      <c r="D53" s="332">
        <f>+'[1]CMR-009'!H48</f>
        <v>61440</v>
      </c>
    </row>
    <row r="54" spans="1:4">
      <c r="A54" s="127" t="s">
        <v>668</v>
      </c>
      <c r="B54" s="286" t="s">
        <v>669</v>
      </c>
      <c r="C54" s="288" t="s">
        <v>5</v>
      </c>
      <c r="D54" s="332">
        <f>+'[1]CMR-010'!H48</f>
        <v>330681</v>
      </c>
    </row>
    <row r="55" spans="1:4">
      <c r="A55" s="127" t="s">
        <v>670</v>
      </c>
      <c r="B55" s="286" t="s">
        <v>671</v>
      </c>
      <c r="C55" s="288" t="s">
        <v>293</v>
      </c>
      <c r="D55" s="332">
        <f>+'[1]CMR-011'!H48</f>
        <v>152644</v>
      </c>
    </row>
    <row r="56" spans="1:4" ht="28.8">
      <c r="A56" s="127" t="s">
        <v>672</v>
      </c>
      <c r="B56" s="286" t="s">
        <v>673</v>
      </c>
      <c r="C56" s="288" t="s">
        <v>9</v>
      </c>
      <c r="D56" s="332">
        <f>+'[1]CMR-012'!H48</f>
        <v>106831</v>
      </c>
    </row>
    <row r="57" spans="1:4">
      <c r="B57" s="286"/>
      <c r="C57" s="288"/>
      <c r="D57" s="334"/>
    </row>
    <row r="58" spans="1:4">
      <c r="B58" s="286"/>
      <c r="C58" s="288"/>
      <c r="D58" s="334"/>
    </row>
    <row r="59" spans="1:4">
      <c r="A59" s="127" t="s">
        <v>402</v>
      </c>
      <c r="B59" s="283" t="s">
        <v>404</v>
      </c>
      <c r="C59" s="288"/>
      <c r="D59" s="334"/>
    </row>
    <row r="60" spans="1:4" s="144" customFormat="1" ht="43.8" customHeight="1">
      <c r="A60" s="282" t="s">
        <v>433</v>
      </c>
      <c r="B60" s="389" t="s">
        <v>482</v>
      </c>
      <c r="C60" s="390" t="s">
        <v>5</v>
      </c>
      <c r="D60" s="331"/>
    </row>
    <row r="61" spans="1:4">
      <c r="A61" s="127" t="s">
        <v>434</v>
      </c>
      <c r="B61" s="286" t="s">
        <v>341</v>
      </c>
      <c r="C61" s="288" t="s">
        <v>5</v>
      </c>
      <c r="D61" s="335"/>
    </row>
    <row r="62" spans="1:4">
      <c r="A62" s="330" t="s">
        <v>435</v>
      </c>
      <c r="B62" s="286" t="s">
        <v>320</v>
      </c>
      <c r="C62" s="288" t="s">
        <v>293</v>
      </c>
      <c r="D62" s="334">
        <f>+'[1]ELC-003'!H48</f>
        <v>33165</v>
      </c>
    </row>
    <row r="63" spans="1:4">
      <c r="A63" s="330" t="s">
        <v>493</v>
      </c>
      <c r="B63" s="286" t="s">
        <v>492</v>
      </c>
      <c r="C63" s="288" t="s">
        <v>5</v>
      </c>
      <c r="D63" s="334">
        <f>+'[1]ELC-004'!H48</f>
        <v>30640</v>
      </c>
    </row>
    <row r="64" spans="1:4" ht="28.8">
      <c r="A64" s="330" t="s">
        <v>497</v>
      </c>
      <c r="B64" s="286" t="s">
        <v>499</v>
      </c>
      <c r="C64" s="288" t="s">
        <v>5</v>
      </c>
      <c r="D64" s="334">
        <f>+'[1]ELC-005'!H48</f>
        <v>74576</v>
      </c>
    </row>
    <row r="65" spans="1:4">
      <c r="A65" s="330" t="s">
        <v>498</v>
      </c>
      <c r="B65" s="286" t="s">
        <v>500</v>
      </c>
      <c r="C65" s="288" t="s">
        <v>5</v>
      </c>
      <c r="D65" s="334">
        <f>+'[1]ELC-006'!H48</f>
        <v>53732</v>
      </c>
    </row>
    <row r="66" spans="1:4" ht="28.8">
      <c r="A66" s="330" t="s">
        <v>514</v>
      </c>
      <c r="B66" s="286" t="s">
        <v>692</v>
      </c>
      <c r="C66" s="288" t="s">
        <v>293</v>
      </c>
      <c r="D66" s="334">
        <f>+'[1]ELC-007'!H48</f>
        <v>105654</v>
      </c>
    </row>
    <row r="67" spans="1:4">
      <c r="A67" s="330" t="s">
        <v>617</v>
      </c>
      <c r="B67" s="286" t="s">
        <v>618</v>
      </c>
      <c r="C67" s="288" t="s">
        <v>5</v>
      </c>
      <c r="D67" s="334">
        <f>+'[1]ELC-008'!H48</f>
        <v>32289</v>
      </c>
    </row>
    <row r="68" spans="1:4" ht="28.8">
      <c r="A68" s="330" t="s">
        <v>619</v>
      </c>
      <c r="B68" s="286" t="s">
        <v>620</v>
      </c>
      <c r="C68" s="288" t="s">
        <v>5</v>
      </c>
      <c r="D68" s="334">
        <f>+'[1]ELC-009'!H48</f>
        <v>1325151</v>
      </c>
    </row>
    <row r="69" spans="1:4">
      <c r="A69" s="127" t="s">
        <v>405</v>
      </c>
      <c r="B69" s="283" t="s">
        <v>424</v>
      </c>
      <c r="C69" s="288"/>
      <c r="D69" s="334"/>
    </row>
    <row r="70" spans="1:4">
      <c r="A70" s="330" t="s">
        <v>416</v>
      </c>
      <c r="B70" s="124" t="s">
        <v>406</v>
      </c>
      <c r="C70" s="127" t="s">
        <v>5</v>
      </c>
      <c r="D70" s="335">
        <f>+'[1]HS-001'!H48</f>
        <v>537446</v>
      </c>
    </row>
    <row r="71" spans="1:4">
      <c r="A71" s="330" t="s">
        <v>417</v>
      </c>
      <c r="B71" s="124" t="s">
        <v>412</v>
      </c>
      <c r="C71" s="127" t="s">
        <v>5</v>
      </c>
      <c r="D71" s="334">
        <f>+'[1]HS-002'!H48</f>
        <v>929939</v>
      </c>
    </row>
    <row r="72" spans="1:4" s="144" customFormat="1" ht="28.8">
      <c r="A72" s="330" t="s">
        <v>418</v>
      </c>
      <c r="B72" s="319" t="s">
        <v>407</v>
      </c>
      <c r="C72" s="321" t="s">
        <v>5</v>
      </c>
      <c r="D72" s="334">
        <f>+'[1]HS-003'!H48</f>
        <v>378563</v>
      </c>
    </row>
    <row r="73" spans="1:4">
      <c r="A73" s="330" t="s">
        <v>419</v>
      </c>
      <c r="B73" s="89" t="s">
        <v>408</v>
      </c>
      <c r="C73" s="148" t="s">
        <v>5</v>
      </c>
      <c r="D73" s="334">
        <f>+'[1]HS-004'!H48</f>
        <v>185875</v>
      </c>
    </row>
    <row r="74" spans="1:4">
      <c r="A74" s="330" t="s">
        <v>420</v>
      </c>
      <c r="B74" s="124" t="s">
        <v>409</v>
      </c>
      <c r="C74" s="127" t="s">
        <v>5</v>
      </c>
      <c r="D74" s="334">
        <f>+'[1]HS-005'!H48</f>
        <v>81744</v>
      </c>
    </row>
    <row r="75" spans="1:4">
      <c r="A75" s="330" t="s">
        <v>421</v>
      </c>
      <c r="B75" s="289" t="s">
        <v>443</v>
      </c>
      <c r="C75" s="290" t="s">
        <v>5</v>
      </c>
      <c r="D75" s="334">
        <f>+'[1]HS-006'!H48</f>
        <v>152931</v>
      </c>
    </row>
    <row r="76" spans="1:4" ht="28.8">
      <c r="A76" s="330" t="s">
        <v>423</v>
      </c>
      <c r="B76" s="327" t="s">
        <v>422</v>
      </c>
      <c r="C76" s="323" t="s">
        <v>5</v>
      </c>
      <c r="D76" s="334">
        <f>+'[1]HS-007'!H48</f>
        <v>350686</v>
      </c>
    </row>
    <row r="77" spans="1:4">
      <c r="A77" s="330" t="s">
        <v>425</v>
      </c>
      <c r="B77" s="89" t="s">
        <v>447</v>
      </c>
      <c r="C77" s="323" t="s">
        <v>5</v>
      </c>
      <c r="D77" s="334">
        <f>+'[1]HS-008'!H48</f>
        <v>185875</v>
      </c>
    </row>
    <row r="78" spans="1:4">
      <c r="A78" s="330" t="s">
        <v>440</v>
      </c>
      <c r="B78" s="89" t="s">
        <v>441</v>
      </c>
      <c r="C78" s="323" t="s">
        <v>5</v>
      </c>
      <c r="D78" s="334">
        <f>+'[1]HS-009'!H48</f>
        <v>104244</v>
      </c>
    </row>
    <row r="79" spans="1:4">
      <c r="A79" s="330" t="s">
        <v>621</v>
      </c>
      <c r="B79" s="89" t="s">
        <v>622</v>
      </c>
      <c r="C79" s="323" t="s">
        <v>5</v>
      </c>
      <c r="D79" s="334">
        <f>+'[1]HS-010'!H48</f>
        <v>81744</v>
      </c>
    </row>
    <row r="80" spans="1:4">
      <c r="A80" s="330" t="s">
        <v>623</v>
      </c>
      <c r="B80" s="327" t="s">
        <v>624</v>
      </c>
      <c r="C80" s="323" t="s">
        <v>5</v>
      </c>
      <c r="D80" s="334">
        <f>+'[1]HS-011'!H48</f>
        <v>20303</v>
      </c>
    </row>
    <row r="81" spans="1:4" ht="28.8">
      <c r="A81" s="330" t="s">
        <v>625</v>
      </c>
      <c r="B81" s="418" t="s">
        <v>626</v>
      </c>
      <c r="C81" s="323" t="s">
        <v>5</v>
      </c>
      <c r="D81" s="334">
        <f>+'[1]HS-012'!H48</f>
        <v>1547295</v>
      </c>
    </row>
    <row r="82" spans="1:4">
      <c r="A82" s="330" t="s">
        <v>627</v>
      </c>
      <c r="B82" s="89" t="s">
        <v>628</v>
      </c>
      <c r="C82" s="323" t="s">
        <v>293</v>
      </c>
      <c r="D82" s="334">
        <f>+'[1]HS-013'!H48</f>
        <v>2155825</v>
      </c>
    </row>
    <row r="83" spans="1:4" ht="28.8">
      <c r="A83" s="330" t="s">
        <v>629</v>
      </c>
      <c r="B83" s="418" t="s">
        <v>630</v>
      </c>
      <c r="C83" s="323" t="s">
        <v>293</v>
      </c>
      <c r="D83" s="334">
        <f>+'[1]HS-014'!H48</f>
        <v>148953</v>
      </c>
    </row>
    <row r="84" spans="1:4">
      <c r="B84" s="89"/>
      <c r="C84" s="89"/>
      <c r="D84" s="337"/>
    </row>
    <row r="85" spans="1:4">
      <c r="A85" s="127" t="s">
        <v>410</v>
      </c>
      <c r="B85" s="283" t="s">
        <v>449</v>
      </c>
      <c r="C85" s="323"/>
      <c r="D85" s="337"/>
    </row>
    <row r="86" spans="1:4">
      <c r="A86" s="330" t="s">
        <v>436</v>
      </c>
      <c r="B86" s="89" t="s">
        <v>411</v>
      </c>
      <c r="C86" s="148" t="s">
        <v>9</v>
      </c>
      <c r="D86" s="334">
        <f>+'[1]CIE-001'!H48</f>
        <v>65187</v>
      </c>
    </row>
    <row r="87" spans="1:4">
      <c r="A87" s="330" t="s">
        <v>437</v>
      </c>
      <c r="B87" s="322" t="s">
        <v>439</v>
      </c>
      <c r="C87" s="323" t="s">
        <v>293</v>
      </c>
      <c r="D87" s="334">
        <f>+'[1]CIE-002'!H48</f>
        <v>47287</v>
      </c>
    </row>
    <row r="88" spans="1:4">
      <c r="A88" s="330" t="s">
        <v>448</v>
      </c>
      <c r="B88" s="322" t="s">
        <v>477</v>
      </c>
      <c r="C88" s="323" t="s">
        <v>9</v>
      </c>
      <c r="D88" s="334">
        <f>+'[1]CIE-003'!H48</f>
        <v>72187</v>
      </c>
    </row>
    <row r="89" spans="1:4">
      <c r="A89" s="330" t="s">
        <v>507</v>
      </c>
      <c r="B89" s="322" t="s">
        <v>506</v>
      </c>
      <c r="C89" s="323" t="s">
        <v>293</v>
      </c>
      <c r="D89" s="334">
        <f>+'[1]CIE-004'!H48</f>
        <v>33203</v>
      </c>
    </row>
    <row r="90" spans="1:4">
      <c r="A90" s="330" t="s">
        <v>522</v>
      </c>
      <c r="B90" s="322" t="s">
        <v>528</v>
      </c>
      <c r="C90" s="323" t="s">
        <v>9</v>
      </c>
      <c r="D90" s="334">
        <f>+'[1]CIE-005'!H48</f>
        <v>41903</v>
      </c>
    </row>
    <row r="91" spans="1:4">
      <c r="A91" s="330" t="s">
        <v>631</v>
      </c>
      <c r="B91" s="322" t="s">
        <v>632</v>
      </c>
      <c r="C91" s="323" t="s">
        <v>293</v>
      </c>
      <c r="D91" s="334">
        <f>+'[1]CIE-006'!H48</f>
        <v>40595</v>
      </c>
    </row>
    <row r="92" spans="1:4">
      <c r="A92" s="330" t="s">
        <v>633</v>
      </c>
      <c r="B92" s="419" t="s">
        <v>634</v>
      </c>
      <c r="C92" s="323" t="s">
        <v>293</v>
      </c>
      <c r="D92" s="334">
        <f>+'[1]CIE-007'!H48</f>
        <v>40578</v>
      </c>
    </row>
    <row r="93" spans="1:4" ht="28.8">
      <c r="A93" s="330" t="s">
        <v>635</v>
      </c>
      <c r="B93" s="327" t="s">
        <v>636</v>
      </c>
      <c r="C93" s="323" t="s">
        <v>9</v>
      </c>
      <c r="D93" s="334">
        <f>+'[1]CIE-008'!H48</f>
        <v>27168</v>
      </c>
    </row>
    <row r="94" spans="1:4">
      <c r="A94" s="330"/>
      <c r="B94" s="322"/>
      <c r="C94" s="323"/>
      <c r="D94" s="334"/>
    </row>
    <row r="95" spans="1:4">
      <c r="A95" s="330"/>
      <c r="B95" s="322"/>
      <c r="C95" s="323"/>
      <c r="D95" s="334"/>
    </row>
    <row r="96" spans="1:4">
      <c r="A96" s="127" t="s">
        <v>414</v>
      </c>
      <c r="B96" s="283" t="s">
        <v>450</v>
      </c>
      <c r="C96" s="148"/>
      <c r="D96" s="334"/>
    </row>
    <row r="97" spans="1:7">
      <c r="A97" s="330" t="s">
        <v>438</v>
      </c>
      <c r="B97" s="89" t="s">
        <v>484</v>
      </c>
      <c r="C97" s="291" t="s">
        <v>11</v>
      </c>
      <c r="D97" s="334">
        <f>+'[1]LF-001'!H48</f>
        <v>30981</v>
      </c>
    </row>
    <row r="98" spans="1:7">
      <c r="B98" s="124"/>
      <c r="C98" s="127"/>
      <c r="D98" s="335"/>
    </row>
    <row r="99" spans="1:7">
      <c r="B99" s="289"/>
      <c r="C99" s="290"/>
      <c r="D99" s="336"/>
    </row>
    <row r="100" spans="1:7" ht="22.5" customHeight="1">
      <c r="B100" s="124"/>
      <c r="C100" s="127"/>
      <c r="D100" s="335"/>
    </row>
    <row r="101" spans="1:7" ht="22.5" customHeight="1">
      <c r="B101" s="89"/>
      <c r="C101" s="148"/>
      <c r="D101" s="334"/>
    </row>
    <row r="102" spans="1:7" ht="22.5" customHeight="1">
      <c r="B102" s="124"/>
      <c r="C102" s="127"/>
      <c r="D102" s="335"/>
      <c r="G102" s="144"/>
    </row>
    <row r="103" spans="1:7" ht="19.5" customHeight="1">
      <c r="B103" s="89"/>
      <c r="C103" s="127"/>
      <c r="D103" s="334"/>
    </row>
    <row r="104" spans="1:7">
      <c r="B104" s="89"/>
      <c r="C104" s="148"/>
      <c r="D104" s="334"/>
    </row>
    <row r="105" spans="1:7">
      <c r="A105" s="127" t="s">
        <v>637</v>
      </c>
      <c r="B105" s="420" t="s">
        <v>638</v>
      </c>
      <c r="C105" s="148"/>
      <c r="D105" s="334"/>
    </row>
    <row r="106" spans="1:7">
      <c r="A106" s="330" t="s">
        <v>639</v>
      </c>
      <c r="B106" s="89" t="s">
        <v>640</v>
      </c>
      <c r="C106" s="148" t="s">
        <v>5</v>
      </c>
      <c r="D106" s="334">
        <f>+'[1]MED-001'!H48</f>
        <v>888031</v>
      </c>
    </row>
    <row r="107" spans="1:7" ht="43.2">
      <c r="A107" s="127" t="s">
        <v>641</v>
      </c>
      <c r="B107" s="418" t="s">
        <v>642</v>
      </c>
      <c r="C107" s="323" t="s">
        <v>5</v>
      </c>
      <c r="D107" s="334">
        <f>+'[1]MED-002'!H48</f>
        <v>21814875</v>
      </c>
    </row>
    <row r="108" spans="1:7" ht="57.6">
      <c r="A108" s="127" t="s">
        <v>643</v>
      </c>
      <c r="B108" s="418" t="s">
        <v>644</v>
      </c>
      <c r="C108" s="89" t="s">
        <v>5</v>
      </c>
      <c r="D108" s="334" t="e">
        <f>+'[1]MED-003'!H48</f>
        <v>#N/A</v>
      </c>
    </row>
    <row r="109" spans="1:7" ht="57.6">
      <c r="A109" s="127" t="s">
        <v>645</v>
      </c>
      <c r="B109" s="418" t="s">
        <v>646</v>
      </c>
      <c r="C109" s="89"/>
      <c r="D109" s="334"/>
    </row>
    <row r="110" spans="1:7" ht="57.6">
      <c r="A110" s="127" t="s">
        <v>647</v>
      </c>
      <c r="B110" s="418" t="s">
        <v>648</v>
      </c>
      <c r="C110" s="89"/>
      <c r="D110" s="334"/>
    </row>
    <row r="111" spans="1:7" ht="57.6">
      <c r="A111" s="127" t="s">
        <v>649</v>
      </c>
      <c r="B111" s="418" t="s">
        <v>650</v>
      </c>
      <c r="C111" s="89"/>
      <c r="D111" s="334"/>
    </row>
    <row r="112" spans="1:7" ht="57.6">
      <c r="A112" s="127" t="s">
        <v>651</v>
      </c>
      <c r="B112" s="418" t="s">
        <v>652</v>
      </c>
      <c r="C112" s="89"/>
      <c r="D112" s="334"/>
    </row>
    <row r="113" spans="1:4" ht="57.6">
      <c r="A113" s="127" t="s">
        <v>653</v>
      </c>
      <c r="B113" s="418" t="s">
        <v>654</v>
      </c>
      <c r="C113" s="89"/>
      <c r="D113" s="334"/>
    </row>
    <row r="114" spans="1:4">
      <c r="B114" s="418"/>
      <c r="C114" s="89"/>
      <c r="D114" s="334"/>
    </row>
    <row r="115" spans="1:4">
      <c r="B115" s="418"/>
      <c r="C115" s="89"/>
      <c r="D115" s="334"/>
    </row>
    <row r="116" spans="1:4">
      <c r="B116" s="89"/>
      <c r="C116" s="89"/>
      <c r="D116" s="334"/>
    </row>
    <row r="117" spans="1:4">
      <c r="B117" s="89"/>
      <c r="C117" s="89"/>
      <c r="D117" s="334"/>
    </row>
    <row r="118" spans="1:4">
      <c r="B118" s="89"/>
      <c r="C118" s="89"/>
      <c r="D118" s="334"/>
    </row>
    <row r="119" spans="1:4">
      <c r="B119" s="89"/>
      <c r="C119" s="89"/>
      <c r="D119" s="334"/>
    </row>
    <row r="120" spans="1:4">
      <c r="B120" s="89"/>
      <c r="C120" s="89"/>
      <c r="D120" s="334"/>
    </row>
    <row r="121" spans="1:4">
      <c r="B121" s="89"/>
      <c r="C121" s="89"/>
      <c r="D121" s="334"/>
    </row>
    <row r="122" spans="1:4">
      <c r="B122" s="89"/>
      <c r="C122" s="89"/>
      <c r="D122" s="334"/>
    </row>
    <row r="123" spans="1:4">
      <c r="B123" s="89"/>
      <c r="C123" s="89"/>
      <c r="D123" s="334"/>
    </row>
    <row r="124" spans="1:4" ht="33" customHeight="1">
      <c r="B124" s="89"/>
      <c r="C124" s="89"/>
      <c r="D124" s="334"/>
    </row>
    <row r="125" spans="1:4">
      <c r="B125" s="89"/>
      <c r="C125" s="89"/>
      <c r="D125" s="334"/>
    </row>
    <row r="126" spans="1:4">
      <c r="B126" s="89"/>
      <c r="C126" s="89"/>
      <c r="D126" s="334"/>
    </row>
    <row r="127" spans="1:4">
      <c r="B127" s="89"/>
      <c r="C127" s="89"/>
      <c r="D127" s="334"/>
    </row>
    <row r="128" spans="1:4">
      <c r="B128" s="89"/>
      <c r="C128" s="89"/>
      <c r="D128" s="334"/>
    </row>
    <row r="129" spans="2:4">
      <c r="B129" s="89"/>
      <c r="C129" s="89"/>
      <c r="D129" s="334"/>
    </row>
    <row r="130" spans="2:4" ht="24" customHeight="1">
      <c r="B130" s="89"/>
      <c r="C130" s="89"/>
      <c r="D130" s="334"/>
    </row>
    <row r="131" spans="2:4">
      <c r="B131" s="89"/>
      <c r="C131" s="89"/>
      <c r="D131" s="334"/>
    </row>
    <row r="132" spans="2:4">
      <c r="B132" s="89"/>
      <c r="C132" s="89"/>
      <c r="D132" s="334"/>
    </row>
    <row r="133" spans="2:4">
      <c r="B133" s="89"/>
      <c r="C133" s="89"/>
      <c r="D133" s="334"/>
    </row>
    <row r="134" spans="2:4">
      <c r="B134" s="89"/>
      <c r="C134" s="89"/>
      <c r="D134" s="334"/>
    </row>
    <row r="135" spans="2:4">
      <c r="B135" s="89"/>
      <c r="C135" s="89"/>
      <c r="D135" s="334"/>
    </row>
    <row r="136" spans="2:4">
      <c r="B136" s="89"/>
      <c r="C136" s="89"/>
      <c r="D136" s="334"/>
    </row>
    <row r="137" spans="2:4">
      <c r="B137" s="89"/>
      <c r="C137" s="89"/>
      <c r="D137" s="334"/>
    </row>
    <row r="138" spans="2:4">
      <c r="B138" s="89"/>
      <c r="C138" s="89"/>
      <c r="D138" s="334"/>
    </row>
    <row r="139" spans="2:4">
      <c r="B139" s="89"/>
      <c r="C139" s="89"/>
      <c r="D139" s="334"/>
    </row>
    <row r="140" spans="2:4">
      <c r="B140" s="89"/>
      <c r="C140" s="89"/>
      <c r="D140" s="334"/>
    </row>
    <row r="141" spans="2:4">
      <c r="B141" s="89"/>
      <c r="C141" s="89"/>
      <c r="D141" s="334"/>
    </row>
  </sheetData>
  <hyperlinks>
    <hyperlink ref="A3" location="'P-0001'!A1" display="P-0001" xr:uid="{F2A3AFA0-C016-4416-ADE8-F885B5368677}"/>
    <hyperlink ref="A4:A8" location="'P-0001'!A1" display="P-0001" xr:uid="{D13330AD-1E2D-42B0-AE6B-61E7A91A990A}"/>
    <hyperlink ref="A4" location="'P-0002'!A1" display="P-0002" xr:uid="{5258B161-917D-4DA2-9F26-84F33002F22E}"/>
    <hyperlink ref="A5" location="'P-0003'!A1" display="P-0003" xr:uid="{2FCA2CD3-0FCD-4579-81CD-BCB82C587BC4}"/>
    <hyperlink ref="A6" location="'P-0004'!A1" display="P-0004" xr:uid="{80C783DD-6573-42F7-A746-D87E4883F01E}"/>
    <hyperlink ref="A7" location="'P-0005'!A1" display="P-0005" xr:uid="{3E80D2D2-8EC5-4103-9AF6-83AA7EDFFB45}"/>
    <hyperlink ref="A8" location="'P-0006'!A1" display="P-0006" xr:uid="{E94904A4-7178-4EE4-AFC5-C9362EE1E749}"/>
    <hyperlink ref="A21" location="'PTA-001'!A1" display="PTA-001" xr:uid="{A3191A0B-41CA-45DB-94CD-353A57B08364}"/>
    <hyperlink ref="A22" location="'PTA-002'!A1" display="PTA-002" xr:uid="{2E77279B-EB99-4976-98A6-C4BA0BE40D08}"/>
    <hyperlink ref="A23" location="'PTA-003'!A1" display="PTA-003" xr:uid="{467EC0E6-BF32-4E32-A490-111831C23445}"/>
    <hyperlink ref="A24" location="'PTA-004'!A1" display="PTA-004" xr:uid="{C05CF419-6F0C-4573-82BD-DE94B22AB36F}"/>
    <hyperlink ref="A25" location="'PTA-005'!A1" display="PTA-005" xr:uid="{70F2DDD2-F077-44BB-9804-D7C68FC3CD83}"/>
    <hyperlink ref="A26" location="'PTA-006'!A1" display="PTA-006" xr:uid="{164C7986-AE18-47AD-956D-C911B01E26F5}"/>
    <hyperlink ref="A9" location="'P-0001'!A1" display="P-0001" xr:uid="{AD3B2C1E-4207-4457-816B-FB8354786A1D}"/>
    <hyperlink ref="A45" location="'CMR-001'!A1" display="CMR-001" xr:uid="{CF444DBE-F8B3-44F6-BC30-D6855B5BE544}"/>
    <hyperlink ref="A46" location="'CMR-002'!A1" display="CMR-002" xr:uid="{D4624346-C797-4B4B-89B8-B7C28162C631}"/>
    <hyperlink ref="A62" location="'ELC-003'!A1" display="ELC-003" xr:uid="{BF2CEB30-963D-4570-B0E3-FA5253281B46}"/>
    <hyperlink ref="A70" location="'HS-001'!A1" display="HS-001" xr:uid="{8555A0B4-C017-477A-B6C1-84B78E2F3C41}"/>
    <hyperlink ref="A71" location="'HS-002'!A1" display="HS-002" xr:uid="{936703C8-922D-4445-9771-1871E36410E8}"/>
    <hyperlink ref="A72" location="'HS-003'!A1" display="HS-003" xr:uid="{78E3B7FB-F94C-48F1-B61F-3D926CD7F729}"/>
    <hyperlink ref="A73" location="'HS-004'!A1" display="HS-004" xr:uid="{F9E7CCCE-E03B-401B-B496-E981A640F3BE}"/>
    <hyperlink ref="A74" location="'HS-005'!A1" display="HS-005" xr:uid="{D8188273-A9D0-48EA-8572-A7DD3D076525}"/>
    <hyperlink ref="A75" location="'HS-006'!A1" display="HS-006" xr:uid="{FBFDC883-6174-450D-B012-0F36B0C079C5}"/>
    <hyperlink ref="A76" location="'HS-007'!A1" display="HS-007" xr:uid="{F33921FB-B2A8-46E4-B447-FE1DE7051B33}"/>
    <hyperlink ref="A77" location="'HS-008'!A1" display="HS-008" xr:uid="{EE67B530-7479-41CB-B3A5-161AC3B5D83F}"/>
    <hyperlink ref="A78" location="'HS-009'!A1" display="HS-009" xr:uid="{C464E6D9-EABE-4F51-8CB2-A7BAFEB34FAA}"/>
    <hyperlink ref="A86" location="'CIE-001'!A1" display="CIE-001" xr:uid="{69619B8C-95DF-4E54-ACE8-A3C7E8A0BB28}"/>
    <hyperlink ref="A87" location="'CIE-002'!A1" display="CIE-002" xr:uid="{1191B451-5913-4CAD-9614-EB15AE45EA9C}"/>
    <hyperlink ref="A88" location="'CIE-003'!A1" display="CIE-003" xr:uid="{F3ED1236-5474-4386-A7BB-49CC39A66C7D}"/>
    <hyperlink ref="A63" location="'ELC-004'!A1" display="ELC-004" xr:uid="{B3F7D5AA-8310-4892-B359-0C49063041C5}"/>
    <hyperlink ref="A64" location="'ELC-005'!A1" display="ELC-005" xr:uid="{849036B8-6CDB-4A94-B06C-FA9493E8281A}"/>
    <hyperlink ref="A65" location="'ELC-006'!A1" display="ELC-006" xr:uid="{FC5E7958-C824-4402-89E4-E242B6B903EA}"/>
    <hyperlink ref="A89" location="'CIE-004'!A1" display="CIE-004" xr:uid="{EDC4B176-4ABF-4899-B833-C9BB42420CEE}"/>
    <hyperlink ref="A66" location="'ELC-007'!A1" display="ELC-007" xr:uid="{2D72CEF6-B577-4200-AE4E-29B3E606F072}"/>
    <hyperlink ref="A90" location="'CIE-005'!A1" display="CIE-005" xr:uid="{56325DD1-1D5F-46AE-964C-4DEA06ECE7B3}"/>
    <hyperlink ref="A79" location="'HS-010'!A1" display="HS-010" xr:uid="{29D748B9-C4D4-4AF0-992F-8A602646BD4D}"/>
    <hyperlink ref="A80" location="'HS-011'!A1" display="HS-011" xr:uid="{FFE92636-B698-46BA-B5F6-19111E8E8A43}"/>
    <hyperlink ref="A91" location="'CIE-006'!A1" display="CIE-006" xr:uid="{F7BCEAD6-7111-4D2D-ADBB-6DE3E99F83FF}"/>
    <hyperlink ref="A92" location="'CIE-007'!A1" display="CIE-007" xr:uid="{3DECEFFA-06F7-4111-9894-DFC00F52E86B}"/>
    <hyperlink ref="A48" location="'CMR-004'!A1" display="CMR-004" xr:uid="{B0AB680D-9467-4F02-97A9-22C5C37A71C3}"/>
    <hyperlink ref="A27" location="'PTA-007'!A1" display="PTA-007" xr:uid="{112991B8-834B-4CEA-9E73-649E5CCC68AA}"/>
    <hyperlink ref="A28" location="'PTA-008'!A1" display="PTA-008" xr:uid="{195635FA-F8E7-4D3A-828D-D8937B66EA92}"/>
    <hyperlink ref="A29" location="'PTA-009'!A1" display="PTA-009" xr:uid="{323542CA-52A9-45C4-9053-015731920970}"/>
    <hyperlink ref="A81" location="'HS-012'!A1" display="HS-012" xr:uid="{31973AB6-3083-4FF8-9DFE-FD6A3C1BEB43}"/>
    <hyperlink ref="A10" location="'P-0008'!A1" display="P-0008" xr:uid="{CE9262E7-9E78-4CA2-908D-881B7012531D}"/>
    <hyperlink ref="A11" location="'P-0009'!A1" display="P-0009" xr:uid="{A0ED0D39-E3CE-4885-8AA7-BD000CF70F9D}"/>
    <hyperlink ref="A12" location="'P-0010'!A1" display="P-0010" xr:uid="{6F892B29-2E84-4E27-B25F-E1531F1E1486}"/>
    <hyperlink ref="A13" location="'P-0011'!A1" display="P-0011" xr:uid="{66259571-FF41-4423-AD11-39A2ACCF7789}"/>
    <hyperlink ref="A97" location="'LF-001'!A1" display="LF-001" xr:uid="{905C943C-D959-4B8E-97FB-0681063DAB5E}"/>
    <hyperlink ref="A30" location="'PTA-010'!A1" display="PTA-010" xr:uid="{1C0E4784-9A59-426D-81BA-B93B2604E8ED}"/>
    <hyperlink ref="A31" location="'PTA-011'!A1" display="PTA-011" xr:uid="{EEC85ED7-BA99-48EA-812F-31736CC51A2A}"/>
    <hyperlink ref="A33" location="'PTA-013'!A1" display="PTA-013" xr:uid="{38F415DC-6A11-42D2-BF77-23F201A43F09}"/>
    <hyperlink ref="A32" location="'PTA-012'!A1" display="PTA-012" xr:uid="{8D95080A-5383-4FB5-A328-0446987E612E}"/>
    <hyperlink ref="A34" location="'PTA-014'!A1" display="PTA-014" xr:uid="{E61D05AB-295B-405E-91D3-2C2ADBCE9C70}"/>
    <hyperlink ref="A35" location="'PTA-015'!A1" display="PTA-015" xr:uid="{C3256E43-A4D8-48E2-ADF6-3DF2E562CED1}"/>
    <hyperlink ref="A67" location="'ELC-008'!A1" display="ELC-008" xr:uid="{FA5D75AD-1476-43A4-ABED-F0808497A4D0}"/>
    <hyperlink ref="A106" location="'MED-001'!A1" display="MED-001" xr:uid="{A6BD0885-F982-4BAE-92FA-42A06EE6F7C9}"/>
    <hyperlink ref="A82" location="'HS-013'!A1" display="HS-013" xr:uid="{C1E6D0A0-53EE-42C9-B99E-DBE2ACDC00BC}"/>
    <hyperlink ref="A93" location="'CIE-008'!A1" display="CIE-008" xr:uid="{B2EB9ED7-3EF7-40CA-8444-EB1F17939A7C}"/>
    <hyperlink ref="A36" location="'PTA-016'!A1" display="PTA-016" xr:uid="{769A37D0-7CE7-472C-962A-0BBECDE52509}"/>
    <hyperlink ref="A37" location="'PTA-017'!A1" display="PTA-017" xr:uid="{01089686-7F0F-4762-BDAD-EF78AFB9E032}"/>
    <hyperlink ref="A38" location="'PTA-018'!A1" display="PTA-018" xr:uid="{9DEBF9A6-9142-4BA1-B613-471AC47880B2}"/>
    <hyperlink ref="A39" location="'PTA-019'!A1" display="PTA-019" xr:uid="{CBF14FF2-7B0F-457A-B7CA-EB92E94DEAF4}"/>
    <hyperlink ref="A40" location="'PTA-020'!A1" display="PTA-020" xr:uid="{63FBAF75-1603-4E61-A718-E9B9ED582574}"/>
    <hyperlink ref="A51" location="'CMR-007'!A1" display="CMR-007" xr:uid="{FBE9FBD4-8627-4691-BF95-9C3C8E582230}"/>
    <hyperlink ref="A52" location="'CMR-008'!A1" display="CMR-008" xr:uid="{0E89EEB8-BC2A-46A6-A231-D0BDF893A43A}"/>
    <hyperlink ref="A53" location="'CMR-009'!A1" display="CMR-009" xr:uid="{FE5B3B23-DAD5-4441-A676-C0081AF57B17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2976F-5333-4250-9CB1-EED8F754B6F3}">
  <dimension ref="A1:G133"/>
  <sheetViews>
    <sheetView workbookViewId="0">
      <selection activeCell="B8" sqref="B8"/>
    </sheetView>
  </sheetViews>
  <sheetFormatPr baseColWidth="10" defaultRowHeight="14.4"/>
  <cols>
    <col min="1" max="1" width="11.5546875" style="127"/>
    <col min="2" max="2" width="63.33203125" customWidth="1"/>
    <col min="4" max="4" width="16" customWidth="1"/>
  </cols>
  <sheetData>
    <row r="1" spans="1:6" ht="17.25" customHeight="1">
      <c r="A1" s="127" t="s">
        <v>381</v>
      </c>
      <c r="B1" s="292" t="s">
        <v>371</v>
      </c>
      <c r="C1" s="280" t="s">
        <v>28</v>
      </c>
      <c r="D1" s="281" t="s">
        <v>388</v>
      </c>
    </row>
    <row r="2" spans="1:6" s="144" customFormat="1">
      <c r="A2" s="282" t="s">
        <v>385</v>
      </c>
      <c r="B2" s="283" t="s">
        <v>383</v>
      </c>
      <c r="C2" s="284"/>
      <c r="D2" s="331"/>
    </row>
    <row r="3" spans="1:6">
      <c r="A3" s="285" t="s">
        <v>382</v>
      </c>
      <c r="B3" s="124" t="s">
        <v>601</v>
      </c>
      <c r="C3" s="127" t="s">
        <v>9</v>
      </c>
      <c r="D3" s="332">
        <f>+'[1]P-0001'!H48</f>
        <v>42831</v>
      </c>
      <c r="F3" t="str">
        <f>+TEXT(LIST2[[#This Row],[ID]],"XXXXXX")</f>
        <v>P-0001</v>
      </c>
    </row>
    <row r="4" spans="1:6">
      <c r="A4" s="285" t="s">
        <v>389</v>
      </c>
      <c r="B4" s="286" t="s">
        <v>85</v>
      </c>
      <c r="C4" s="287" t="s">
        <v>9</v>
      </c>
      <c r="D4" s="332">
        <f>+'[1]P-0002'!H48</f>
        <v>29966</v>
      </c>
    </row>
    <row r="5" spans="1:6">
      <c r="A5" s="285" t="s">
        <v>390</v>
      </c>
      <c r="B5" s="286" t="s">
        <v>316</v>
      </c>
      <c r="C5" s="287" t="s">
        <v>295</v>
      </c>
      <c r="D5" s="332">
        <f>+'[1]P-0003'!H48</f>
        <v>719688</v>
      </c>
    </row>
    <row r="6" spans="1:6">
      <c r="A6" s="285" t="s">
        <v>391</v>
      </c>
      <c r="B6" s="286" t="s">
        <v>315</v>
      </c>
      <c r="C6" s="287" t="s">
        <v>9</v>
      </c>
      <c r="D6" s="332">
        <f>+'[1]P-0004'!H48</f>
        <v>16553</v>
      </c>
    </row>
    <row r="7" spans="1:6">
      <c r="A7" s="285" t="s">
        <v>392</v>
      </c>
      <c r="B7" s="286" t="s">
        <v>400</v>
      </c>
      <c r="C7" s="287" t="s">
        <v>11</v>
      </c>
      <c r="D7" s="332">
        <f>+'[1]P-0005'!H45</f>
        <v>41022</v>
      </c>
    </row>
    <row r="8" spans="1:6">
      <c r="A8" s="285" t="s">
        <v>393</v>
      </c>
      <c r="B8" s="286" t="s">
        <v>312</v>
      </c>
      <c r="C8" s="287" t="s">
        <v>11</v>
      </c>
      <c r="D8" s="332">
        <f>+'[1]P-0006'!H48</f>
        <v>388247</v>
      </c>
    </row>
    <row r="9" spans="1:6">
      <c r="A9" s="285" t="s">
        <v>415</v>
      </c>
      <c r="B9" s="286" t="s">
        <v>413</v>
      </c>
      <c r="C9" s="287" t="s">
        <v>5</v>
      </c>
      <c r="D9" s="332">
        <f>+'[1]P-0007'!H48</f>
        <v>93559</v>
      </c>
    </row>
    <row r="10" spans="1:6">
      <c r="A10" s="285" t="s">
        <v>535</v>
      </c>
      <c r="B10" s="286" t="s">
        <v>536</v>
      </c>
      <c r="C10" s="287" t="s">
        <v>9</v>
      </c>
      <c r="D10" s="332">
        <f>+'[1]P-0008'!H48</f>
        <v>4477</v>
      </c>
    </row>
    <row r="11" spans="1:6">
      <c r="A11" s="285" t="s">
        <v>537</v>
      </c>
      <c r="B11" s="286" t="s">
        <v>538</v>
      </c>
      <c r="C11" s="287" t="s">
        <v>9</v>
      </c>
      <c r="D11" s="332">
        <f>+'[1]P-0009'!H48</f>
        <v>50982</v>
      </c>
    </row>
    <row r="12" spans="1:6" ht="28.8">
      <c r="A12" s="285" t="s">
        <v>539</v>
      </c>
      <c r="B12" s="286" t="s">
        <v>540</v>
      </c>
      <c r="C12" s="287" t="s">
        <v>9</v>
      </c>
      <c r="D12" s="332">
        <f>+'[1]P-0010'!H48</f>
        <v>75162</v>
      </c>
    </row>
    <row r="13" spans="1:6">
      <c r="A13" s="285" t="s">
        <v>541</v>
      </c>
      <c r="B13" s="286" t="s">
        <v>542</v>
      </c>
      <c r="C13" s="287" t="s">
        <v>11</v>
      </c>
      <c r="D13" s="332">
        <f>+'[1]P-0011'!H48</f>
        <v>30161</v>
      </c>
    </row>
    <row r="14" spans="1:6">
      <c r="A14" s="285" t="s">
        <v>543</v>
      </c>
      <c r="B14" s="286" t="s">
        <v>544</v>
      </c>
      <c r="C14" s="287" t="s">
        <v>11</v>
      </c>
      <c r="D14" s="332">
        <f>+'[1]P-0012'!H48</f>
        <v>158481</v>
      </c>
    </row>
    <row r="15" spans="1:6">
      <c r="A15" s="285" t="s">
        <v>545</v>
      </c>
      <c r="B15" s="286" t="s">
        <v>546</v>
      </c>
      <c r="C15" s="287" t="s">
        <v>9</v>
      </c>
      <c r="D15" s="332">
        <f>+'[1]P-0013'!H48</f>
        <v>12504</v>
      </c>
    </row>
    <row r="16" spans="1:6">
      <c r="A16" s="285" t="s">
        <v>599</v>
      </c>
      <c r="B16" s="286" t="s">
        <v>598</v>
      </c>
      <c r="C16" s="287" t="s">
        <v>9</v>
      </c>
      <c r="D16" s="333">
        <f>+[1]!LIST[[#This Row],[V/UNIT]]</f>
        <v>20830</v>
      </c>
    </row>
    <row r="17" spans="1:4">
      <c r="A17" s="285"/>
      <c r="B17" s="286"/>
      <c r="C17" s="287"/>
      <c r="D17" s="333"/>
    </row>
    <row r="18" spans="1:4">
      <c r="A18" s="285"/>
      <c r="B18" s="286"/>
      <c r="C18" s="287"/>
      <c r="D18" s="333"/>
    </row>
    <row r="19" spans="1:4">
      <c r="A19" s="285"/>
      <c r="B19" s="286"/>
      <c r="C19" s="287"/>
      <c r="D19" s="333"/>
    </row>
    <row r="20" spans="1:4" s="144" customFormat="1">
      <c r="A20" s="282" t="s">
        <v>386</v>
      </c>
      <c r="B20" s="283" t="s">
        <v>384</v>
      </c>
      <c r="C20" s="284"/>
      <c r="D20" s="331"/>
    </row>
    <row r="21" spans="1:4">
      <c r="A21" s="293" t="s">
        <v>395</v>
      </c>
      <c r="B21" s="89" t="s">
        <v>399</v>
      </c>
      <c r="C21" s="127" t="s">
        <v>9</v>
      </c>
      <c r="D21" s="332">
        <f>+'[1]PTA-001'!H45</f>
        <v>210966</v>
      </c>
    </row>
    <row r="22" spans="1:4" ht="17.25" customHeight="1">
      <c r="A22" s="293" t="s">
        <v>394</v>
      </c>
      <c r="B22" s="286" t="s">
        <v>317</v>
      </c>
      <c r="C22" s="127" t="s">
        <v>9</v>
      </c>
      <c r="D22" s="332">
        <f>+'[1]PTA-002'!H45</f>
        <v>199216</v>
      </c>
    </row>
    <row r="23" spans="1:4" ht="32.4" customHeight="1">
      <c r="A23" s="293" t="s">
        <v>396</v>
      </c>
      <c r="B23" s="320" t="s">
        <v>330</v>
      </c>
      <c r="C23" s="127" t="s">
        <v>5</v>
      </c>
      <c r="D23" s="332">
        <f>+'[1]PTA-003'!H45</f>
        <v>102188</v>
      </c>
    </row>
    <row r="24" spans="1:4" ht="32.4" customHeight="1">
      <c r="A24" s="293" t="s">
        <v>397</v>
      </c>
      <c r="B24" s="320" t="s">
        <v>380</v>
      </c>
      <c r="C24" s="127" t="s">
        <v>5</v>
      </c>
      <c r="D24" s="332">
        <f>+'[1]PTA-004'!H48</f>
        <v>108719</v>
      </c>
    </row>
    <row r="25" spans="1:4" ht="28.8">
      <c r="A25" s="293" t="s">
        <v>398</v>
      </c>
      <c r="B25" s="286" t="s">
        <v>459</v>
      </c>
      <c r="C25" s="127" t="s">
        <v>9</v>
      </c>
      <c r="D25" s="332">
        <f>+'[1]PTA-005'!H48</f>
        <v>143058</v>
      </c>
    </row>
    <row r="26" spans="1:4">
      <c r="A26" s="293" t="s">
        <v>401</v>
      </c>
      <c r="B26" s="286" t="s">
        <v>318</v>
      </c>
      <c r="C26" s="127" t="s">
        <v>293</v>
      </c>
      <c r="D26" s="332">
        <f>+'[1]PTA-006'!H48</f>
        <v>71941</v>
      </c>
    </row>
    <row r="27" spans="1:4">
      <c r="A27" s="293" t="s">
        <v>519</v>
      </c>
      <c r="B27" s="286" t="s">
        <v>518</v>
      </c>
      <c r="C27" s="148" t="s">
        <v>9</v>
      </c>
      <c r="D27" s="332">
        <f>+'[1]PTA-007'!H48</f>
        <v>71344</v>
      </c>
    </row>
    <row r="28" spans="1:4">
      <c r="A28" s="293" t="s">
        <v>580</v>
      </c>
      <c r="B28" s="286" t="s">
        <v>581</v>
      </c>
      <c r="C28" s="148" t="s">
        <v>9</v>
      </c>
      <c r="D28" s="332">
        <f>+'[1]PTA-008'!H48</f>
        <v>129294</v>
      </c>
    </row>
    <row r="29" spans="1:4">
      <c r="A29" s="293" t="s">
        <v>582</v>
      </c>
      <c r="B29" s="286" t="s">
        <v>583</v>
      </c>
      <c r="C29" s="148" t="s">
        <v>9</v>
      </c>
      <c r="D29" s="332">
        <f>+'[1]PTA-009'!H48</f>
        <v>16372</v>
      </c>
    </row>
    <row r="30" spans="1:4">
      <c r="A30" s="293" t="s">
        <v>584</v>
      </c>
      <c r="B30" s="413" t="s">
        <v>585</v>
      </c>
      <c r="C30" s="148" t="s">
        <v>9</v>
      </c>
      <c r="D30" s="332">
        <f>+'[1]PTA-010'!H48</f>
        <v>16395</v>
      </c>
    </row>
    <row r="31" spans="1:4">
      <c r="A31" s="293" t="s">
        <v>586</v>
      </c>
      <c r="B31" s="286" t="s">
        <v>587</v>
      </c>
      <c r="C31" s="148" t="s">
        <v>9</v>
      </c>
      <c r="D31" s="332">
        <f>+'[1]PTA-011'!H48</f>
        <v>21848</v>
      </c>
    </row>
    <row r="32" spans="1:4">
      <c r="A32" s="293" t="s">
        <v>588</v>
      </c>
      <c r="B32" s="286" t="s">
        <v>589</v>
      </c>
      <c r="C32" s="148" t="s">
        <v>9</v>
      </c>
      <c r="D32" s="332">
        <f>+'[1]PTA-012'!H48</f>
        <v>91611</v>
      </c>
    </row>
    <row r="33" spans="1:4">
      <c r="A33" s="293" t="s">
        <v>590</v>
      </c>
      <c r="B33" s="286" t="s">
        <v>591</v>
      </c>
      <c r="C33" s="148" t="s">
        <v>9</v>
      </c>
      <c r="D33" s="332">
        <f>+'[1]PTA-013'!H48</f>
        <v>89850</v>
      </c>
    </row>
    <row r="34" spans="1:4">
      <c r="A34" s="293" t="s">
        <v>592</v>
      </c>
      <c r="B34" s="286" t="s">
        <v>593</v>
      </c>
      <c r="C34" s="148" t="s">
        <v>9</v>
      </c>
      <c r="D34" s="332">
        <f>+'[1]PTA-014'!H48</f>
        <v>20161</v>
      </c>
    </row>
    <row r="35" spans="1:4">
      <c r="A35" s="293" t="s">
        <v>594</v>
      </c>
      <c r="B35" s="286" t="s">
        <v>595</v>
      </c>
      <c r="C35" s="148" t="s">
        <v>293</v>
      </c>
      <c r="D35" s="332">
        <f>+'[1]PTA-015'!H48</f>
        <v>14102</v>
      </c>
    </row>
    <row r="36" spans="1:4">
      <c r="A36" s="293" t="s">
        <v>596</v>
      </c>
      <c r="B36" s="286" t="s">
        <v>597</v>
      </c>
      <c r="C36" s="148" t="s">
        <v>9</v>
      </c>
      <c r="D36" s="332">
        <f>+'[1]PTA-016'!H48</f>
        <v>54084</v>
      </c>
    </row>
    <row r="37" spans="1:4" ht="43.2">
      <c r="A37" s="293" t="s">
        <v>602</v>
      </c>
      <c r="B37" s="286" t="s">
        <v>603</v>
      </c>
      <c r="C37" s="148" t="s">
        <v>9</v>
      </c>
      <c r="D37" s="332">
        <f>+'[1]PTA-017'!H48</f>
        <v>118313</v>
      </c>
    </row>
    <row r="38" spans="1:4" ht="43.2">
      <c r="A38" s="293" t="s">
        <v>604</v>
      </c>
      <c r="B38" s="286" t="s">
        <v>605</v>
      </c>
      <c r="C38" s="148" t="s">
        <v>9</v>
      </c>
      <c r="D38" s="333"/>
    </row>
    <row r="39" spans="1:4">
      <c r="A39" s="293"/>
      <c r="B39" s="286"/>
      <c r="C39" s="148"/>
      <c r="D39" s="333"/>
    </row>
    <row r="40" spans="1:4">
      <c r="A40" s="293"/>
      <c r="B40" s="286"/>
      <c r="C40" s="148"/>
      <c r="D40" s="333"/>
    </row>
    <row r="41" spans="1:4">
      <c r="A41" s="293"/>
      <c r="B41" s="286"/>
      <c r="C41" s="148"/>
      <c r="D41" s="333"/>
    </row>
    <row r="42" spans="1:4" s="144" customFormat="1">
      <c r="A42" s="282" t="s">
        <v>387</v>
      </c>
      <c r="B42" s="283" t="s">
        <v>403</v>
      </c>
      <c r="C42" s="284"/>
      <c r="D42" s="331"/>
    </row>
    <row r="43" spans="1:4">
      <c r="A43" s="330" t="s">
        <v>430</v>
      </c>
      <c r="B43" s="286" t="s">
        <v>74</v>
      </c>
      <c r="C43" s="127" t="s">
        <v>12</v>
      </c>
      <c r="D43" s="332">
        <f>+'[1]CMR-001'!H48</f>
        <v>10449</v>
      </c>
    </row>
    <row r="44" spans="1:4">
      <c r="A44" s="330" t="s">
        <v>431</v>
      </c>
      <c r="B44" s="89" t="s">
        <v>337</v>
      </c>
      <c r="C44" s="127" t="s">
        <v>11</v>
      </c>
      <c r="D44" s="332">
        <f>+'[1]CMR-002'!H48</f>
        <v>1111084</v>
      </c>
    </row>
    <row r="45" spans="1:4" ht="57.6">
      <c r="A45" s="127" t="s">
        <v>432</v>
      </c>
      <c r="B45" s="286" t="s">
        <v>481</v>
      </c>
      <c r="C45" s="288" t="s">
        <v>12</v>
      </c>
      <c r="D45" s="334"/>
    </row>
    <row r="46" spans="1:4">
      <c r="A46" s="330" t="s">
        <v>606</v>
      </c>
      <c r="B46" s="286" t="s">
        <v>607</v>
      </c>
      <c r="C46" s="288" t="s">
        <v>9</v>
      </c>
      <c r="D46" s="332">
        <f>+'[1]CMR-004'!H48</f>
        <v>126819</v>
      </c>
    </row>
    <row r="47" spans="1:4">
      <c r="A47" s="330" t="s">
        <v>608</v>
      </c>
      <c r="B47" s="286" t="s">
        <v>609</v>
      </c>
      <c r="C47" s="288" t="s">
        <v>11</v>
      </c>
      <c r="D47" s="332">
        <f>+'[1]CMR-005'!H48</f>
        <v>1342397</v>
      </c>
    </row>
    <row r="48" spans="1:4">
      <c r="A48" s="330" t="s">
        <v>610</v>
      </c>
      <c r="B48" s="286" t="s">
        <v>611</v>
      </c>
      <c r="C48" s="288" t="s">
        <v>11</v>
      </c>
      <c r="D48" s="332">
        <f>+'[1]CMR-006'!H48</f>
        <v>501872</v>
      </c>
    </row>
    <row r="49" spans="1:4">
      <c r="A49" s="330" t="s">
        <v>612</v>
      </c>
      <c r="B49" s="286" t="s">
        <v>613</v>
      </c>
      <c r="C49" s="288" t="s">
        <v>9</v>
      </c>
      <c r="D49" s="332">
        <f>+'[1]CMR-007'!H48</f>
        <v>17543</v>
      </c>
    </row>
    <row r="50" spans="1:4">
      <c r="A50" s="127" t="s">
        <v>614</v>
      </c>
      <c r="B50" s="286" t="s">
        <v>615</v>
      </c>
      <c r="C50" s="288" t="s">
        <v>293</v>
      </c>
      <c r="D50" s="334"/>
    </row>
    <row r="51" spans="1:4">
      <c r="A51" s="127" t="s">
        <v>402</v>
      </c>
      <c r="B51" s="283" t="s">
        <v>404</v>
      </c>
      <c r="C51" s="288"/>
      <c r="D51" s="334"/>
    </row>
    <row r="52" spans="1:4" s="144" customFormat="1" ht="43.8" customHeight="1">
      <c r="A52" s="282" t="s">
        <v>433</v>
      </c>
      <c r="B52" s="389" t="s">
        <v>482</v>
      </c>
      <c r="C52" s="390" t="s">
        <v>5</v>
      </c>
      <c r="D52" s="331"/>
    </row>
    <row r="53" spans="1:4">
      <c r="A53" s="127" t="s">
        <v>434</v>
      </c>
      <c r="B53" s="286" t="s">
        <v>341</v>
      </c>
      <c r="C53" s="288" t="s">
        <v>5</v>
      </c>
      <c r="D53" s="335"/>
    </row>
    <row r="54" spans="1:4">
      <c r="A54" s="330" t="s">
        <v>435</v>
      </c>
      <c r="B54" s="286" t="s">
        <v>320</v>
      </c>
      <c r="C54" s="288" t="s">
        <v>293</v>
      </c>
      <c r="D54" s="334">
        <f>+'[1]ELC-003'!H48</f>
        <v>33165</v>
      </c>
    </row>
    <row r="55" spans="1:4">
      <c r="A55" s="330" t="s">
        <v>493</v>
      </c>
      <c r="B55" s="286" t="s">
        <v>492</v>
      </c>
      <c r="C55" s="288" t="s">
        <v>5</v>
      </c>
      <c r="D55" s="334">
        <f>+'[1]ELC-004'!H48</f>
        <v>30640</v>
      </c>
    </row>
    <row r="56" spans="1:4" ht="28.8">
      <c r="A56" s="330" t="s">
        <v>497</v>
      </c>
      <c r="B56" s="286" t="s">
        <v>499</v>
      </c>
      <c r="C56" s="288" t="s">
        <v>5</v>
      </c>
      <c r="D56" s="334">
        <f>+'[1]ELC-005'!H48</f>
        <v>74576</v>
      </c>
    </row>
    <row r="57" spans="1:4">
      <c r="A57" s="330" t="s">
        <v>498</v>
      </c>
      <c r="B57" s="286" t="s">
        <v>500</v>
      </c>
      <c r="C57" s="288" t="s">
        <v>5</v>
      </c>
      <c r="D57" s="334">
        <f>+'[1]ELC-006'!H48</f>
        <v>53732</v>
      </c>
    </row>
    <row r="58" spans="1:4">
      <c r="A58" s="330" t="s">
        <v>514</v>
      </c>
      <c r="B58" s="286" t="s">
        <v>616</v>
      </c>
      <c r="C58" s="288" t="s">
        <v>293</v>
      </c>
      <c r="D58" s="334">
        <f>+'[1]ELC-007'!H48</f>
        <v>105654</v>
      </c>
    </row>
    <row r="59" spans="1:4">
      <c r="A59" s="330" t="s">
        <v>617</v>
      </c>
      <c r="B59" s="286" t="s">
        <v>618</v>
      </c>
      <c r="C59" s="288" t="s">
        <v>5</v>
      </c>
      <c r="D59" s="334">
        <f>+'[1]ELC-008'!H48</f>
        <v>32289</v>
      </c>
    </row>
    <row r="60" spans="1:4" ht="28.8">
      <c r="A60" s="330" t="s">
        <v>619</v>
      </c>
      <c r="B60" s="286" t="s">
        <v>620</v>
      </c>
      <c r="C60" s="288" t="s">
        <v>5</v>
      </c>
      <c r="D60" s="334">
        <f>+'[1]ELC-009'!H48</f>
        <v>1325151</v>
      </c>
    </row>
    <row r="61" spans="1:4">
      <c r="A61" s="127" t="s">
        <v>405</v>
      </c>
      <c r="B61" s="283" t="s">
        <v>424</v>
      </c>
      <c r="C61" s="288"/>
      <c r="D61" s="334"/>
    </row>
    <row r="62" spans="1:4">
      <c r="A62" s="330" t="s">
        <v>416</v>
      </c>
      <c r="B62" s="124" t="s">
        <v>406</v>
      </c>
      <c r="C62" s="127" t="s">
        <v>5</v>
      </c>
      <c r="D62" s="335">
        <f>+'[1]HS-001'!H48</f>
        <v>537446</v>
      </c>
    </row>
    <row r="63" spans="1:4">
      <c r="A63" s="330" t="s">
        <v>417</v>
      </c>
      <c r="B63" s="124" t="s">
        <v>412</v>
      </c>
      <c r="C63" s="127" t="s">
        <v>5</v>
      </c>
      <c r="D63" s="334">
        <f>+'[1]HS-002'!H48</f>
        <v>929939</v>
      </c>
    </row>
    <row r="64" spans="1:4" s="144" customFormat="1" ht="28.8">
      <c r="A64" s="330" t="s">
        <v>418</v>
      </c>
      <c r="B64" s="319" t="s">
        <v>407</v>
      </c>
      <c r="C64" s="321" t="s">
        <v>5</v>
      </c>
      <c r="D64" s="334">
        <f>+'[1]HS-003'!H48</f>
        <v>378563</v>
      </c>
    </row>
    <row r="65" spans="1:4">
      <c r="A65" s="330" t="s">
        <v>419</v>
      </c>
      <c r="B65" s="89" t="s">
        <v>408</v>
      </c>
      <c r="C65" s="148" t="s">
        <v>5</v>
      </c>
      <c r="D65" s="334">
        <f>+'[1]HS-004'!H48</f>
        <v>185875</v>
      </c>
    </row>
    <row r="66" spans="1:4">
      <c r="A66" s="330" t="s">
        <v>420</v>
      </c>
      <c r="B66" s="124" t="s">
        <v>409</v>
      </c>
      <c r="C66" s="127" t="s">
        <v>5</v>
      </c>
      <c r="D66" s="334">
        <f>+'[1]HS-005'!H48</f>
        <v>81744</v>
      </c>
    </row>
    <row r="67" spans="1:4">
      <c r="A67" s="330" t="s">
        <v>421</v>
      </c>
      <c r="B67" s="289" t="s">
        <v>443</v>
      </c>
      <c r="C67" s="290" t="s">
        <v>5</v>
      </c>
      <c r="D67" s="334">
        <f>+'[1]HS-006'!H48</f>
        <v>152931</v>
      </c>
    </row>
    <row r="68" spans="1:4" ht="28.8">
      <c r="A68" s="330" t="s">
        <v>423</v>
      </c>
      <c r="B68" s="327" t="s">
        <v>422</v>
      </c>
      <c r="C68" s="323" t="s">
        <v>5</v>
      </c>
      <c r="D68" s="334">
        <f>+'[1]HS-007'!H48</f>
        <v>350686</v>
      </c>
    </row>
    <row r="69" spans="1:4">
      <c r="A69" s="330" t="s">
        <v>425</v>
      </c>
      <c r="B69" s="89" t="s">
        <v>447</v>
      </c>
      <c r="C69" s="323" t="s">
        <v>5</v>
      </c>
      <c r="D69" s="334">
        <f>+'[1]HS-008'!H48</f>
        <v>185875</v>
      </c>
    </row>
    <row r="70" spans="1:4">
      <c r="A70" s="330" t="s">
        <v>440</v>
      </c>
      <c r="B70" s="89" t="s">
        <v>441</v>
      </c>
      <c r="C70" s="323" t="s">
        <v>5</v>
      </c>
      <c r="D70" s="334">
        <f>+'[1]HS-009'!H48</f>
        <v>104244</v>
      </c>
    </row>
    <row r="71" spans="1:4">
      <c r="A71" s="330" t="s">
        <v>621</v>
      </c>
      <c r="B71" s="89" t="s">
        <v>622</v>
      </c>
      <c r="C71" s="323" t="s">
        <v>5</v>
      </c>
      <c r="D71" s="334">
        <f>+'[1]HS-010'!H48</f>
        <v>81744</v>
      </c>
    </row>
    <row r="72" spans="1:4">
      <c r="A72" s="330" t="s">
        <v>623</v>
      </c>
      <c r="B72" s="327" t="s">
        <v>624</v>
      </c>
      <c r="C72" s="323" t="s">
        <v>5</v>
      </c>
      <c r="D72" s="334">
        <f>+'[1]HS-011'!H48</f>
        <v>20303</v>
      </c>
    </row>
    <row r="73" spans="1:4" ht="28.8">
      <c r="A73" s="330" t="s">
        <v>625</v>
      </c>
      <c r="B73" s="418" t="s">
        <v>626</v>
      </c>
      <c r="C73" s="323" t="s">
        <v>5</v>
      </c>
      <c r="D73" s="334">
        <f>+'[1]HS-012'!H48</f>
        <v>1547295</v>
      </c>
    </row>
    <row r="74" spans="1:4">
      <c r="A74" s="330" t="s">
        <v>627</v>
      </c>
      <c r="B74" s="89" t="s">
        <v>628</v>
      </c>
      <c r="C74" s="323" t="s">
        <v>293</v>
      </c>
      <c r="D74" s="334">
        <f>+'[1]HS-013'!H48</f>
        <v>2155825</v>
      </c>
    </row>
    <row r="75" spans="1:4" ht="28.8">
      <c r="A75" s="330" t="s">
        <v>629</v>
      </c>
      <c r="B75" s="418" t="s">
        <v>630</v>
      </c>
      <c r="C75" s="323" t="s">
        <v>293</v>
      </c>
      <c r="D75" s="334">
        <f>+'[1]HS-014'!H48</f>
        <v>148953</v>
      </c>
    </row>
    <row r="76" spans="1:4">
      <c r="B76" s="89"/>
      <c r="C76" s="89"/>
      <c r="D76" s="337"/>
    </row>
    <row r="77" spans="1:4">
      <c r="A77" s="127" t="s">
        <v>410</v>
      </c>
      <c r="B77" s="283" t="s">
        <v>449</v>
      </c>
      <c r="C77" s="323"/>
      <c r="D77" s="337"/>
    </row>
    <row r="78" spans="1:4">
      <c r="A78" s="330" t="s">
        <v>436</v>
      </c>
      <c r="B78" s="89" t="s">
        <v>411</v>
      </c>
      <c r="C78" s="148" t="s">
        <v>9</v>
      </c>
      <c r="D78" s="334">
        <f>+'[1]CIE-001'!H48</f>
        <v>65187</v>
      </c>
    </row>
    <row r="79" spans="1:4">
      <c r="A79" s="330" t="s">
        <v>437</v>
      </c>
      <c r="B79" s="322" t="s">
        <v>439</v>
      </c>
      <c r="C79" s="323" t="s">
        <v>293</v>
      </c>
      <c r="D79" s="334">
        <f>+'[1]CIE-002'!H48</f>
        <v>47287</v>
      </c>
    </row>
    <row r="80" spans="1:4">
      <c r="A80" s="330" t="s">
        <v>448</v>
      </c>
      <c r="B80" s="322" t="s">
        <v>477</v>
      </c>
      <c r="C80" s="323" t="s">
        <v>9</v>
      </c>
      <c r="D80" s="334">
        <f>+'[1]CIE-003'!H48</f>
        <v>72187</v>
      </c>
    </row>
    <row r="81" spans="1:7">
      <c r="A81" s="330" t="s">
        <v>507</v>
      </c>
      <c r="B81" s="322" t="s">
        <v>506</v>
      </c>
      <c r="C81" s="323" t="s">
        <v>293</v>
      </c>
      <c r="D81" s="334">
        <f>+'[1]CIE-004'!H48</f>
        <v>33203</v>
      </c>
    </row>
    <row r="82" spans="1:7">
      <c r="A82" s="330" t="s">
        <v>522</v>
      </c>
      <c r="B82" s="322" t="s">
        <v>528</v>
      </c>
      <c r="C82" s="323" t="s">
        <v>9</v>
      </c>
      <c r="D82" s="334">
        <f>+'[1]CIE-005'!H48</f>
        <v>41903</v>
      </c>
    </row>
    <row r="83" spans="1:7">
      <c r="A83" s="330" t="s">
        <v>631</v>
      </c>
      <c r="B83" s="322" t="s">
        <v>632</v>
      </c>
      <c r="C83" s="323" t="s">
        <v>293</v>
      </c>
      <c r="D83" s="334">
        <f>+'[1]CIE-006'!H48</f>
        <v>40595</v>
      </c>
    </row>
    <row r="84" spans="1:7">
      <c r="A84" s="330" t="s">
        <v>633</v>
      </c>
      <c r="B84" s="419" t="s">
        <v>634</v>
      </c>
      <c r="C84" s="323" t="s">
        <v>293</v>
      </c>
      <c r="D84" s="334">
        <f>+'[1]CIE-007'!H48</f>
        <v>40578</v>
      </c>
    </row>
    <row r="85" spans="1:7" ht="28.8">
      <c r="A85" s="330" t="s">
        <v>635</v>
      </c>
      <c r="B85" s="327" t="s">
        <v>636</v>
      </c>
      <c r="C85" s="323" t="s">
        <v>9</v>
      </c>
      <c r="D85" s="334">
        <f>+'[1]CIE-008'!H48</f>
        <v>27168</v>
      </c>
    </row>
    <row r="86" spans="1:7">
      <c r="A86" s="330"/>
      <c r="B86" s="322"/>
      <c r="C86" s="323"/>
      <c r="D86" s="334"/>
    </row>
    <row r="87" spans="1:7">
      <c r="A87" s="330"/>
      <c r="B87" s="322"/>
      <c r="C87" s="323"/>
      <c r="D87" s="334"/>
    </row>
    <row r="88" spans="1:7">
      <c r="A88" s="127" t="s">
        <v>414</v>
      </c>
      <c r="B88" s="283" t="s">
        <v>450</v>
      </c>
      <c r="C88" s="148"/>
      <c r="D88" s="334"/>
    </row>
    <row r="89" spans="1:7">
      <c r="A89" s="330" t="s">
        <v>438</v>
      </c>
      <c r="B89" s="89" t="s">
        <v>484</v>
      </c>
      <c r="C89" s="291" t="s">
        <v>11</v>
      </c>
      <c r="D89" s="334">
        <f>+'[1]LF-001'!H48</f>
        <v>30981</v>
      </c>
    </row>
    <row r="90" spans="1:7">
      <c r="B90" s="124"/>
      <c r="C90" s="127"/>
      <c r="D90" s="335"/>
    </row>
    <row r="91" spans="1:7">
      <c r="B91" s="289"/>
      <c r="C91" s="290"/>
      <c r="D91" s="336"/>
    </row>
    <row r="92" spans="1:7" ht="22.5" customHeight="1">
      <c r="B92" s="124"/>
      <c r="C92" s="127"/>
      <c r="D92" s="335"/>
    </row>
    <row r="93" spans="1:7" ht="22.5" customHeight="1">
      <c r="B93" s="89"/>
      <c r="C93" s="148"/>
      <c r="D93" s="334"/>
    </row>
    <row r="94" spans="1:7" ht="22.5" customHeight="1">
      <c r="B94" s="124"/>
      <c r="C94" s="127"/>
      <c r="D94" s="335"/>
      <c r="G94" s="144"/>
    </row>
    <row r="95" spans="1:7" ht="19.5" customHeight="1">
      <c r="B95" s="89"/>
      <c r="C95" s="127"/>
      <c r="D95" s="334"/>
    </row>
    <row r="96" spans="1:7">
      <c r="B96" s="89"/>
      <c r="C96" s="148"/>
      <c r="D96" s="334"/>
    </row>
    <row r="97" spans="1:4">
      <c r="A97" s="127" t="s">
        <v>637</v>
      </c>
      <c r="B97" s="420" t="s">
        <v>638</v>
      </c>
      <c r="C97" s="148"/>
      <c r="D97" s="334"/>
    </row>
    <row r="98" spans="1:4">
      <c r="A98" s="330" t="s">
        <v>639</v>
      </c>
      <c r="B98" s="89" t="s">
        <v>640</v>
      </c>
      <c r="C98" s="148" t="s">
        <v>5</v>
      </c>
      <c r="D98" s="334">
        <f>+'[1]MED-001'!H48</f>
        <v>888031</v>
      </c>
    </row>
    <row r="99" spans="1:4" ht="43.2">
      <c r="A99" s="127" t="s">
        <v>641</v>
      </c>
      <c r="B99" s="418" t="s">
        <v>642</v>
      </c>
      <c r="C99" s="323" t="s">
        <v>5</v>
      </c>
      <c r="D99" s="334">
        <f>+'[1]MED-002'!H48</f>
        <v>21814875</v>
      </c>
    </row>
    <row r="100" spans="1:4" ht="57.6">
      <c r="A100" s="127" t="s">
        <v>643</v>
      </c>
      <c r="B100" s="418" t="s">
        <v>644</v>
      </c>
      <c r="C100" s="89" t="s">
        <v>5</v>
      </c>
      <c r="D100" s="334" t="e">
        <f>+'[1]MED-003'!H48</f>
        <v>#N/A</v>
      </c>
    </row>
    <row r="101" spans="1:4" ht="57.6">
      <c r="A101" s="127" t="s">
        <v>645</v>
      </c>
      <c r="B101" s="418" t="s">
        <v>646</v>
      </c>
      <c r="C101" s="89"/>
      <c r="D101" s="334"/>
    </row>
    <row r="102" spans="1:4" ht="57.6">
      <c r="A102" s="127" t="s">
        <v>647</v>
      </c>
      <c r="B102" s="418" t="s">
        <v>648</v>
      </c>
      <c r="C102" s="89"/>
      <c r="D102" s="334"/>
    </row>
    <row r="103" spans="1:4" ht="57.6">
      <c r="A103" s="127" t="s">
        <v>649</v>
      </c>
      <c r="B103" s="418" t="s">
        <v>650</v>
      </c>
      <c r="C103" s="89"/>
      <c r="D103" s="334"/>
    </row>
    <row r="104" spans="1:4" ht="57.6">
      <c r="A104" s="127" t="s">
        <v>651</v>
      </c>
      <c r="B104" s="418" t="s">
        <v>652</v>
      </c>
      <c r="C104" s="89"/>
      <c r="D104" s="334"/>
    </row>
    <row r="105" spans="1:4" ht="57.6">
      <c r="A105" s="127" t="s">
        <v>653</v>
      </c>
      <c r="B105" s="418" t="s">
        <v>654</v>
      </c>
      <c r="C105" s="89"/>
      <c r="D105" s="334"/>
    </row>
    <row r="106" spans="1:4">
      <c r="B106" s="418"/>
      <c r="C106" s="89"/>
      <c r="D106" s="334"/>
    </row>
    <row r="107" spans="1:4">
      <c r="B107" s="418"/>
      <c r="C107" s="89"/>
      <c r="D107" s="334"/>
    </row>
    <row r="108" spans="1:4">
      <c r="B108" s="89"/>
      <c r="C108" s="89"/>
      <c r="D108" s="334"/>
    </row>
    <row r="109" spans="1:4">
      <c r="B109" s="89"/>
      <c r="C109" s="89"/>
      <c r="D109" s="334"/>
    </row>
    <row r="110" spans="1:4">
      <c r="B110" s="89"/>
      <c r="C110" s="89"/>
      <c r="D110" s="334"/>
    </row>
    <row r="111" spans="1:4">
      <c r="B111" s="89"/>
      <c r="C111" s="89"/>
      <c r="D111" s="334"/>
    </row>
    <row r="112" spans="1:4">
      <c r="B112" s="89"/>
      <c r="C112" s="89"/>
      <c r="D112" s="334"/>
    </row>
    <row r="113" spans="2:4">
      <c r="B113" s="89"/>
      <c r="C113" s="89"/>
      <c r="D113" s="334"/>
    </row>
    <row r="114" spans="2:4">
      <c r="B114" s="89"/>
      <c r="C114" s="89"/>
      <c r="D114" s="334"/>
    </row>
    <row r="115" spans="2:4">
      <c r="B115" s="89"/>
      <c r="C115" s="89"/>
      <c r="D115" s="334"/>
    </row>
    <row r="116" spans="2:4" ht="33" customHeight="1">
      <c r="B116" s="89"/>
      <c r="C116" s="89"/>
      <c r="D116" s="334"/>
    </row>
    <row r="117" spans="2:4">
      <c r="B117" s="89"/>
      <c r="C117" s="89"/>
      <c r="D117" s="334"/>
    </row>
    <row r="118" spans="2:4">
      <c r="B118" s="89"/>
      <c r="C118" s="89"/>
      <c r="D118" s="334"/>
    </row>
    <row r="119" spans="2:4">
      <c r="B119" s="89"/>
      <c r="C119" s="89"/>
      <c r="D119" s="334"/>
    </row>
    <row r="120" spans="2:4">
      <c r="B120" s="89"/>
      <c r="C120" s="89"/>
      <c r="D120" s="334"/>
    </row>
    <row r="121" spans="2:4">
      <c r="B121" s="89"/>
      <c r="C121" s="89"/>
      <c r="D121" s="334"/>
    </row>
    <row r="122" spans="2:4" ht="24" customHeight="1">
      <c r="B122" s="89"/>
      <c r="C122" s="89"/>
      <c r="D122" s="334"/>
    </row>
    <row r="123" spans="2:4">
      <c r="B123" s="89"/>
      <c r="C123" s="89"/>
      <c r="D123" s="334"/>
    </row>
    <row r="124" spans="2:4">
      <c r="B124" s="89"/>
      <c r="C124" s="89"/>
      <c r="D124" s="334"/>
    </row>
    <row r="125" spans="2:4">
      <c r="B125" s="89"/>
      <c r="C125" s="89"/>
      <c r="D125" s="334"/>
    </row>
    <row r="126" spans="2:4">
      <c r="B126" s="89"/>
      <c r="C126" s="89"/>
      <c r="D126" s="334"/>
    </row>
    <row r="127" spans="2:4">
      <c r="B127" s="89"/>
      <c r="C127" s="89"/>
      <c r="D127" s="334"/>
    </row>
    <row r="128" spans="2:4">
      <c r="B128" s="89"/>
      <c r="C128" s="89"/>
      <c r="D128" s="334"/>
    </row>
    <row r="129" spans="2:4">
      <c r="B129" s="89"/>
      <c r="C129" s="89"/>
      <c r="D129" s="334"/>
    </row>
    <row r="130" spans="2:4">
      <c r="B130" s="89"/>
      <c r="C130" s="89"/>
      <c r="D130" s="334"/>
    </row>
    <row r="131" spans="2:4">
      <c r="B131" s="89"/>
      <c r="C131" s="89"/>
      <c r="D131" s="334"/>
    </row>
    <row r="132" spans="2:4">
      <c r="B132" s="89"/>
      <c r="C132" s="89"/>
      <c r="D132" s="334"/>
    </row>
    <row r="133" spans="2:4">
      <c r="B133" s="89"/>
      <c r="C133" s="89"/>
      <c r="D133" s="334"/>
    </row>
  </sheetData>
  <hyperlinks>
    <hyperlink ref="A3" location="'P-0001'!A1" display="P-0001" xr:uid="{3380EB23-ED02-4B07-928B-923305A6CDB7}"/>
    <hyperlink ref="A4:A8" location="'P-0001'!A1" display="P-0001" xr:uid="{25FBD375-2FEE-44B7-BD2D-BAF9959CB2E2}"/>
    <hyperlink ref="A4" location="'P-0002'!A1" display="P-0002" xr:uid="{F4187201-4B9D-401A-953D-445E7BEA860D}"/>
    <hyperlink ref="A5" location="'P-0003'!A1" display="P-0003" xr:uid="{A04B0E11-1E2E-4B96-A898-AFC1E66D9FAA}"/>
    <hyperlink ref="A6" location="'P-0004'!A1" display="P-0004" xr:uid="{5D2ECE5C-F7E7-4965-B821-D9947B9BE1F8}"/>
    <hyperlink ref="A7" location="'P-0005'!A1" display="P-0005" xr:uid="{15FC2325-EEAF-45EE-ABC8-4CE728DE4D90}"/>
    <hyperlink ref="A8" location="'P-0006'!A1" display="P-0006" xr:uid="{6A4895A3-520C-4034-A61A-A1698928516F}"/>
    <hyperlink ref="A21" location="'PTA-001'!A1" display="PTA-001" xr:uid="{85C968C4-4A74-47B3-9984-A6375E4CAB05}"/>
    <hyperlink ref="A22" location="'PTA-002'!A1" display="PTA-002" xr:uid="{3FD81963-BE1D-420D-9713-C2B1CE838704}"/>
    <hyperlink ref="A23" location="'PTA-003'!A1" display="PTA-003" xr:uid="{B0BF018F-D728-4C69-A5A8-EA935AF3FEC3}"/>
    <hyperlink ref="A24" location="'PTA-004'!A1" display="PTA-004" xr:uid="{D44B4C3D-7D70-4348-AADF-BA2B8F34D6F4}"/>
    <hyperlink ref="A25" location="'PTA-005'!A1" display="PTA-005" xr:uid="{1BDA2D59-CC7E-4BA6-BD70-3ACBB84B512A}"/>
    <hyperlink ref="A26" location="'PTA-006'!A1" display="PTA-006" xr:uid="{10036496-6830-4F65-9E4D-A76A8A377271}"/>
    <hyperlink ref="A9" location="'P-0001'!A1" display="P-0001" xr:uid="{28F5FE1A-BE92-43A8-923A-42957C8D63B0}"/>
    <hyperlink ref="A43" location="'CMR-001'!A1" display="CMR-001" xr:uid="{C7348635-913D-4135-86B8-C8D98D99F167}"/>
    <hyperlink ref="A44" location="'CMR-002'!A1" display="CMR-002" xr:uid="{EE159FAD-BD30-4811-9A60-0562D2BDA9DE}"/>
    <hyperlink ref="A54" location="'ELC-003'!A1" display="ELC-003" xr:uid="{39D3C072-B446-4BFC-8D31-7E9CFF964293}"/>
    <hyperlink ref="A62" location="'HS-001'!A1" display="HS-001" xr:uid="{35A1D353-A760-428E-BC66-3C620D80FB40}"/>
    <hyperlink ref="A63" location="'HS-002'!A1" display="HS-002" xr:uid="{89B64933-DFF6-406E-8723-3AD56E19B75C}"/>
    <hyperlink ref="A64" location="'HS-003'!A1" display="HS-003" xr:uid="{B10BF35F-B05A-49E5-B1E2-D4123CED3325}"/>
    <hyperlink ref="A65" location="'HS-004'!A1" display="HS-004" xr:uid="{1D16EA23-7603-4A26-8FD3-CF628132A13B}"/>
    <hyperlink ref="A66" location="'HS-005'!A1" display="HS-005" xr:uid="{1283290D-0975-4D28-92C7-9433AFDBBE9A}"/>
    <hyperlink ref="A67" location="'HS-006'!A1" display="HS-006" xr:uid="{A9394ED9-8EAB-4DF9-B43A-3E3D7F270DA4}"/>
    <hyperlink ref="A68" location="'HS-007'!A1" display="HS-007" xr:uid="{6A811C53-228D-4366-B386-EED88C7B795E}"/>
    <hyperlink ref="A69" location="'HS-008'!A1" display="HS-008" xr:uid="{7611B5E3-C860-4E26-932B-0077052C754C}"/>
    <hyperlink ref="A70" location="'HS-009'!A1" display="HS-009" xr:uid="{9D3AA8FE-13AF-41E1-A7FE-789CF943DACC}"/>
    <hyperlink ref="A78" location="'CIE-001'!A1" display="CIE-001" xr:uid="{A7BAF43F-4F20-4A33-96B8-850856E78AFB}"/>
    <hyperlink ref="A79" location="'CIE-002'!A1" display="CIE-002" xr:uid="{2712D64A-2E5A-447A-B26A-BEF41DABAFB5}"/>
    <hyperlink ref="A80" location="'CIE-003'!A1" display="CIE-003" xr:uid="{9D86973D-E543-4225-AF1C-27FA6B02C10D}"/>
    <hyperlink ref="A55" location="'ELC-004'!A1" display="ELC-004" xr:uid="{535E688B-2788-49E5-9B8F-C72B54A17E57}"/>
    <hyperlink ref="A56" location="'ELC-005'!A1" display="ELC-005" xr:uid="{2A68D537-26F5-41A3-9374-CE6D1CBC8C1E}"/>
    <hyperlink ref="A57" location="'ELC-006'!A1" display="ELC-006" xr:uid="{1A01F230-F17F-4291-9CF0-C09EF94F92EE}"/>
    <hyperlink ref="A81" location="'CIE-004'!A1" display="CIE-004" xr:uid="{8216694F-AC31-4058-8203-F879CBF62110}"/>
    <hyperlink ref="A58" location="'ELC-007'!A1" display="ELC-007" xr:uid="{64FD535C-C074-408B-905C-591B4EAA5F16}"/>
    <hyperlink ref="A82" location="'CIE-005'!A1" display="CIE-005" xr:uid="{AEA34A45-F954-44E7-B908-68A2E1B90766}"/>
    <hyperlink ref="A71" location="'HS-010'!A1" display="HS-010" xr:uid="{833EE9E7-D5D3-4D4A-B78C-A7BB9833E50D}"/>
    <hyperlink ref="A72" location="'HS-011'!A1" display="HS-011" xr:uid="{6078ACDA-819D-497E-BF1A-6C487FDA1BFD}"/>
    <hyperlink ref="A83" location="'CIE-006'!A1" display="CIE-006" xr:uid="{51236031-E690-46FA-8CC1-510E5EA6D729}"/>
    <hyperlink ref="A84" location="'CIE-007'!A1" display="CIE-007" xr:uid="{BF741E02-C067-4119-A472-12732F4D9FDB}"/>
    <hyperlink ref="A46" location="'CMR-004'!A1" display="CMR-004" xr:uid="{3DB448B9-47A1-4B22-B9D1-B3ADD8CC4FB3}"/>
    <hyperlink ref="A27" location="'PTA-007'!A1" display="PTA-007" xr:uid="{19C7B1E6-BC5B-4FE4-B9D7-A3B57C2DF653}"/>
    <hyperlink ref="A28" location="'PTA-008'!A1" display="PTA-008" xr:uid="{11A66F1C-AAFA-480D-8FCA-060E47F9DA2C}"/>
    <hyperlink ref="A29" location="'PTA-009'!A1" display="PTA-009" xr:uid="{5E64BA98-EC62-45ED-8A4F-B7F6590A1B73}"/>
    <hyperlink ref="A73" location="'HS-012'!A1" display="HS-012" xr:uid="{462E4EE5-8C85-48A6-92FB-6930B9BE213F}"/>
    <hyperlink ref="A10" location="'P-0008'!A1" display="P-0008" xr:uid="{FAC18432-30DE-48F6-BF7F-4FA1085590C2}"/>
    <hyperlink ref="A11" location="'P-0009'!A1" display="P-0009" xr:uid="{BB396C89-2101-4510-AAD1-201E1D647FCD}"/>
    <hyperlink ref="A12" location="'P-0010'!A1" display="P-0010" xr:uid="{C80C8685-0D26-4FB1-A5CF-AD4AE3BA25DE}"/>
    <hyperlink ref="A13" location="'P-0011'!A1" display="P-0011" xr:uid="{9B7BF1EE-21AF-4B74-8256-1C5DA639A7CB}"/>
    <hyperlink ref="A89" location="'LF-001'!A1" display="LF-001" xr:uid="{AE8614C8-E96D-4EC5-98F9-5F02D4F611BF}"/>
    <hyperlink ref="A30" location="'PTA-010'!A1" display="PTA-010" xr:uid="{6ED78A44-E0E6-4129-9653-0E7ED40B07C1}"/>
    <hyperlink ref="A31" location="'PTA-011'!A1" display="PTA-011" xr:uid="{D2B72BC6-A812-4B54-A533-2825DD3A7BE0}"/>
    <hyperlink ref="A33" location="'PTA-013'!A1" display="PTA-013" xr:uid="{BD86B0A3-B723-4679-B8E6-AFE4773E0C4C}"/>
    <hyperlink ref="A32" location="'PTA-012'!A1" display="PTA-012" xr:uid="{A4635E40-5A03-4961-8982-5563493B7E39}"/>
    <hyperlink ref="A34" location="'PTA-014'!A1" display="PTA-014" xr:uid="{D9DB60ED-5343-4919-95A0-659D290204CE}"/>
    <hyperlink ref="A35" location="'PTA-015'!A1" display="PTA-015" xr:uid="{1C0319DE-A360-4A29-AD8C-12DED11D3015}"/>
    <hyperlink ref="A59" location="'ELC-008'!A1" display="ELC-008" xr:uid="{8D3721C3-FF7C-40D4-B633-E03636A1E365}"/>
    <hyperlink ref="A98" location="'MED-001'!A1" display="MED-001" xr:uid="{823A3A76-11E8-4E0E-AAE9-CD58CF862097}"/>
    <hyperlink ref="A74" location="'HS-013'!A1" display="HS-013" xr:uid="{09E39D27-9340-4E3E-A048-39312E27E4BE}"/>
    <hyperlink ref="A85" location="'CIE-008'!A1" display="CIE-008" xr:uid="{AAE9C7C0-AE4B-4EB9-8FBB-74FF74A27FA0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905E9-C909-4ADE-856A-473156A67168}">
  <sheetPr>
    <tabColor rgb="FF002060"/>
  </sheetPr>
  <dimension ref="A1:H56"/>
  <sheetViews>
    <sheetView topLeftCell="A15" zoomScale="65" zoomScaleNormal="100" workbookViewId="0">
      <selection activeCell="D45" sqref="D4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+[1]PTO!D3</f>
        <v>CONSTRUCCIÓN DE PARQUE BIOSALUDABLE EN EL BARRIO LOS CAMBULOS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+_xlfn.XLOOKUP(D10,[1]PTO!$D$4:$D$22,[1]PTO!$C$4:$C$22)</f>
        <v>#N/A</v>
      </c>
      <c r="E9" s="24" t="s">
        <v>28</v>
      </c>
      <c r="F9" s="23" t="str">
        <f>+_xlfn.XLOOKUP($D$10,[1]!LIST[DESCRIPCIÓN],[1]!LIST[UNIDAD])</f>
        <v>M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595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567</v>
      </c>
      <c r="B15" s="479"/>
      <c r="C15" s="479"/>
      <c r="D15" s="480"/>
      <c r="E15" s="171" t="str">
        <f>IF($A15=0,0,VLOOKUP($A15,INS!$A$2:$E$106,2,FALSE))</f>
        <v>GLN</v>
      </c>
      <c r="F15" s="414">
        <v>0.04</v>
      </c>
      <c r="G15" s="65">
        <f>IF($A15=0,0,_xlfn.XLOOKUP($A15,INS[DESCRIPCIÓN],INS[PROMEDIO]))</f>
        <v>80000</v>
      </c>
      <c r="H15" s="29">
        <f t="shared" ref="H15:H21" si="0">+F15*G15</f>
        <v>3200</v>
      </c>
    </row>
    <row r="16" spans="1:8">
      <c r="A16" s="473" t="s">
        <v>568</v>
      </c>
      <c r="B16" s="474"/>
      <c r="C16" s="474"/>
      <c r="D16" s="475"/>
      <c r="E16" s="171" t="str">
        <f>IF($A16=0,0,VLOOKUP($A16,INS!$A$2:$E$106,2,FALSE))</f>
        <v>GLN</v>
      </c>
      <c r="F16" s="415">
        <v>7.0000000000000001E-3</v>
      </c>
      <c r="G16" s="65">
        <f>IF($A16=0,0,_xlfn.XLOOKUP($A16,INS[DESCRIPCIÓN],INS[PROMEDIO]))</f>
        <v>40000</v>
      </c>
      <c r="H16" s="29">
        <f t="shared" si="0"/>
        <v>280</v>
      </c>
    </row>
    <row r="17" spans="1:8" ht="17.399999999999999" customHeight="1">
      <c r="A17" s="478"/>
      <c r="B17" s="479"/>
      <c r="C17" s="479"/>
      <c r="D17" s="480"/>
      <c r="E17" s="171">
        <f>IF($A17=0,0,VLOOKUP($A17,[1]INS!$A$2:$E$110,2,FALSE))</f>
        <v>0</v>
      </c>
      <c r="F17" s="142"/>
      <c r="G17" s="65">
        <f>IF($A17=0,0,_xlfn.XLOOKUP($A17,[1]!INS[DESCRIPCIÓN],[1]!INS[PROMEDIO]))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171">
        <f>IF($A18=0,0,VLOOKUP($A18,[1]INS!$A$2:$E$110,2,FALSE))</f>
        <v>0</v>
      </c>
      <c r="F18" s="142"/>
      <c r="G18" s="65">
        <f>IF($A18=0,0,_xlfn.XLOOKUP($A18,[1]!INS[DESCRIPCIÓN],[1]!INS[PROMEDIO]))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171">
        <f>IF($A19=0,0,VLOOKUP($A19,[1]INS!$A$2:$E$110,2,FALSE))</f>
        <v>0</v>
      </c>
      <c r="F19" s="142"/>
      <c r="G19" s="65">
        <f>IF($A19=0,0,VLOOKUP($A19,[1]INS!$A$2:$G$110,6,FALSE))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171">
        <f>IF($A20=0,0,VLOOKUP($A20,[1]INS!$A$2:$E$110,2,FALSE))</f>
        <v>0</v>
      </c>
      <c r="F20" s="142"/>
      <c r="G20" s="65">
        <f>IF($A20=0,0,VLOOKUP($A20,[1]INS!$A$2:$G$110,6,FALSE))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171">
        <f>IF($A21=0,0,VLOOKUP($A21,[1]INS!$A$2:$E$110,2,FALSE))</f>
        <v>0</v>
      </c>
      <c r="F21" s="142"/>
      <c r="G21" s="65">
        <f>IF($A21=0,0,VLOOKUP($A21,[1]INS!$A$2:$G$110,6,FALSE))</f>
        <v>0</v>
      </c>
      <c r="H21" s="29">
        <f t="shared" si="0"/>
        <v>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0.1</v>
      </c>
      <c r="G22" s="36">
        <f>H46</f>
        <v>7087.5</v>
      </c>
      <c r="H22" s="29">
        <f>F22*G22</f>
        <v>708.75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4188.75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554</v>
      </c>
      <c r="B27" s="467"/>
      <c r="C27" s="467"/>
      <c r="D27" s="69"/>
      <c r="E27" s="23"/>
      <c r="F27" s="65">
        <f>IF($A27=0,0,_xlfn.XLOOKUP($A27,EQUI[DESCRIPCIÓN],EQUI[VALOR]))</f>
        <v>55000</v>
      </c>
      <c r="G27" s="416">
        <f>IF($A27=0,0,_xlfn.XLOOKUP($A27,EQUI[DESCRIPCIÓN],EQUI[RENDIMIENTO]))</f>
        <v>0.01</v>
      </c>
      <c r="H27" s="29">
        <f>F27*G27</f>
        <v>550</v>
      </c>
    </row>
    <row r="28" spans="1:8">
      <c r="A28" s="467" t="s">
        <v>491</v>
      </c>
      <c r="B28" s="467"/>
      <c r="C28" s="467"/>
      <c r="D28" s="69"/>
      <c r="E28" s="23"/>
      <c r="F28" s="65">
        <f>IF($A28=0,0,_xlfn.XLOOKUP($A28,EQUI[DESCRIPCIÓN],EQUI[VALOR]))</f>
        <v>10000</v>
      </c>
      <c r="G28" s="416">
        <f>IF($A28=0,0,_xlfn.XLOOKUP($A28,EQUI[DESCRIPCIÓN],EQUI[RENDIMIENTO]))</f>
        <v>0.1</v>
      </c>
      <c r="H28" s="29">
        <f>F28*G28</f>
        <v>1000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1550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IF($A$35=0,0,VLOOKUP($A$35,[1]TRANS!$A$2:$F$38,5,FALSE))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0.18</v>
      </c>
      <c r="H43" s="53">
        <f>F43*G43</f>
        <v>4462.5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0.18</v>
      </c>
      <c r="H44" s="53">
        <f t="shared" ref="H44:H45" si="1">F44*G44</f>
        <v>2625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7087.5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12826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D232F-7045-45A5-B654-87513F195B35}">
  <sheetPr>
    <tabColor rgb="FF002060"/>
  </sheetPr>
  <dimension ref="A1:H56"/>
  <sheetViews>
    <sheetView zoomScale="65" zoomScaleNormal="100" workbookViewId="0">
      <selection activeCell="D45" sqref="D4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+[1]PTO!D3</f>
        <v>CONSTRUCCIÓN DE PARQUE BIOSALUDABLE EN EL BARRIO LOS CAMBULOS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+_xlfn.XLOOKUP(D10,[1]PTO!$D$4:$D$22,[1]PTO!$C$4:$C$22)</f>
        <v>#N/A</v>
      </c>
      <c r="E9" s="24" t="s">
        <v>28</v>
      </c>
      <c r="F9" s="23" t="str">
        <f>+_xlfn.XLOOKUP($D$10,[1]!LIST[DESCRIPCIÓN],[1]!LIST[UNIDAD])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593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567</v>
      </c>
      <c r="B15" s="479"/>
      <c r="C15" s="479"/>
      <c r="D15" s="480"/>
      <c r="E15" s="65" t="e">
        <f>IF($A15=0,0,VLOOKUP($A15,[1]INS!$A$2:$E$110,2,FALSE))</f>
        <v>#N/A</v>
      </c>
      <c r="F15" s="414">
        <v>0.06</v>
      </c>
      <c r="G15" s="65" t="e">
        <f>IF($A15=0,0,_xlfn.XLOOKUP($A15,[1]!INS[DESCRIPCIÓN],[1]!INS[PROMEDIO]))</f>
        <v>#N/A</v>
      </c>
      <c r="H15" s="29" t="e">
        <f t="shared" ref="H15:H21" si="0">+F15*G15</f>
        <v>#N/A</v>
      </c>
    </row>
    <row r="16" spans="1:8">
      <c r="A16" s="473" t="s">
        <v>568</v>
      </c>
      <c r="B16" s="474"/>
      <c r="C16" s="474"/>
      <c r="D16" s="475"/>
      <c r="E16" s="171" t="str">
        <f>IF($A16=0,0,VLOOKUP($A16,[1]INS!$A$2:$E$110,2,FALSE))</f>
        <v>GLN</v>
      </c>
      <c r="F16" s="415">
        <v>0.01</v>
      </c>
      <c r="G16" s="65">
        <f>IF($A16=0,0,_xlfn.XLOOKUP($A16,[1]!INS[DESCRIPCIÓN],[1]!INS[PROMEDIO]))</f>
        <v>40000</v>
      </c>
      <c r="H16" s="29">
        <f t="shared" si="0"/>
        <v>400</v>
      </c>
    </row>
    <row r="17" spans="1:8" ht="17.399999999999999" customHeight="1">
      <c r="A17" s="478"/>
      <c r="B17" s="479"/>
      <c r="C17" s="479"/>
      <c r="D17" s="480"/>
      <c r="E17" s="171">
        <f>IF($A17=0,0,VLOOKUP($A17,[1]INS!$A$2:$E$110,2,FALSE))</f>
        <v>0</v>
      </c>
      <c r="F17" s="142"/>
      <c r="G17" s="65">
        <f>IF($A17=0,0,_xlfn.XLOOKUP($A17,[1]!INS[DESCRIPCIÓN],[1]!INS[PROMEDIO]))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171">
        <f>IF($A18=0,0,VLOOKUP($A18,[1]INS!$A$2:$E$110,2,FALSE))</f>
        <v>0</v>
      </c>
      <c r="F18" s="142"/>
      <c r="G18" s="65">
        <f>IF($A18=0,0,_xlfn.XLOOKUP($A18,[1]!INS[DESCRIPCIÓN],[1]!INS[PROMEDIO]))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171">
        <f>IF($A19=0,0,VLOOKUP($A19,[1]INS!$A$2:$E$110,2,FALSE))</f>
        <v>0</v>
      </c>
      <c r="F19" s="142"/>
      <c r="G19" s="65">
        <f>IF($A19=0,0,VLOOKUP($A19,[1]INS!$A$2:$G$110,6,FALSE))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171">
        <f>IF($A20=0,0,VLOOKUP($A20,[1]INS!$A$2:$E$110,2,FALSE))</f>
        <v>0</v>
      </c>
      <c r="F20" s="142"/>
      <c r="G20" s="65">
        <f>IF($A20=0,0,VLOOKUP($A20,[1]INS!$A$2:$G$110,6,FALSE))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171">
        <f>IF($A21=0,0,VLOOKUP($A21,[1]INS!$A$2:$E$110,2,FALSE))</f>
        <v>0</v>
      </c>
      <c r="F21" s="142"/>
      <c r="G21" s="65">
        <f>IF($A21=0,0,VLOOKUP($A21,[1]INS!$A$2:$G$110,6,FALSE))</f>
        <v>0</v>
      </c>
      <c r="H21" s="29">
        <f t="shared" si="0"/>
        <v>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0.1</v>
      </c>
      <c r="G22" s="36">
        <f>H46</f>
        <v>8662.5</v>
      </c>
      <c r="H22" s="29">
        <f>F22*G22</f>
        <v>866.25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 t="e">
        <f>SUM(H15:H22)</f>
        <v>#N/A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554</v>
      </c>
      <c r="B27" s="467"/>
      <c r="C27" s="467"/>
      <c r="D27" s="69"/>
      <c r="E27" s="23"/>
      <c r="F27" s="65">
        <f>IF($A27=0,0,_xlfn.XLOOKUP($A27,[1]!EQUI[DESCRIPCIÓN],[1]!EQUI[VALOR]))</f>
        <v>55000</v>
      </c>
      <c r="G27" s="416">
        <f>IF($A27=0,0,_xlfn.XLOOKUP($A27,[1]!EQUI[DESCRIPCIÓN],[1]!EQUI[RENDIMIENTO]))</f>
        <v>0.01</v>
      </c>
      <c r="H27" s="29">
        <f>F27*G27</f>
        <v>550</v>
      </c>
    </row>
    <row r="28" spans="1:8">
      <c r="A28" s="467" t="s">
        <v>491</v>
      </c>
      <c r="B28" s="467"/>
      <c r="C28" s="467"/>
      <c r="D28" s="69"/>
      <c r="E28" s="23"/>
      <c r="F28" s="65">
        <f>IF($A28=0,0,_xlfn.XLOOKUP($A28,[1]!EQUI[DESCRIPCIÓN],[1]!EQUI[VALOR]))</f>
        <v>10000</v>
      </c>
      <c r="G28" s="416">
        <f>IF($A28=0,0,_xlfn.XLOOKUP($A28,[1]!EQUI[DESCRIPCIÓN],[1]!EQUI[RENDIMIENTO]))</f>
        <v>0.1</v>
      </c>
      <c r="H28" s="29">
        <f>F28*G28</f>
        <v>1000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1550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IF($A$35=0,0,VLOOKUP($A$35,[1]TRANS!$A$2:$F$38,5,FALSE))</f>
        <v>0</v>
      </c>
      <c r="E35" s="46">
        <f>IF($A$35=0,0,VLOOKUP($A$35,[1]TRANS!$A$2:$D$39,3,FALSE))</f>
        <v>0</v>
      </c>
      <c r="F35" s="169">
        <f>+F15</f>
        <v>0.06</v>
      </c>
      <c r="G35" s="145">
        <f>IF($A$35=0,0,VLOOKUP($A$35,[1]TRANS!$A$2:$D$38,4,FALSE))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[1]MO!F31/8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+IF(AND($E$43=1,$E$44=1),_xlfn.XLOOKUP($D$10,[1]!REND[DESCRIPCIÓN],[1]!REND[RENDIMIENTO (1)]),IF(AND($E$43=1,$E$44=2),_xlfn.XLOOKUP($D$10,[1]!REND[DESCRIPCIÓN],[1]!REND[RENDIMIENTO (2)]),IF(AND($E$43=1,$E$44=3),_xlfn.XLOOKUP($D$10,[1]!REND[DESCRIPCIÓN],[1]!REND[RENDIMIENTO (3)]),IF(AND($E$43=1,$E$44=4),_xlfn.XLOOKUP($D$10,[1]!REND[DESCRIPCIÓN],[1]!REND[RENDIMIENTO (4)]),0))))</f>
        <v>0.22</v>
      </c>
      <c r="H43" s="53">
        <f>F43*G43</f>
        <v>5454.166666666667</v>
      </c>
    </row>
    <row r="44" spans="1:8">
      <c r="A44" s="457" t="s">
        <v>52</v>
      </c>
      <c r="B44" s="458"/>
      <c r="C44" s="458"/>
      <c r="D44" s="52">
        <f>[1]MO!F14/8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+IF(AND($E$43=1,$E$44=1),_xlfn.XLOOKUP($D$10,[1]!REND[DESCRIPCIÓN],[1]!REND[RENDIMIENTO (1)]),IF(AND($E$43=1,$E$44=2),_xlfn.XLOOKUP($D$10,[1]!REND[DESCRIPCIÓN],[1]!REND[RENDIMIENTO (2)]),IF(AND($E$43=1,$E$44=3),_xlfn.XLOOKUP($D$10,[1]!REND[DESCRIPCIÓN],[1]!REND[RENDIMIENTO (3)]),IF(AND($E$43=1,$E$44=4),_xlfn.XLOOKUP($D$10,[1]!REND[DESCRIPCIÓN],[1]!REND[RENDIMIENTO (4)]),0))))</f>
        <v>0.22</v>
      </c>
      <c r="H44" s="53">
        <f t="shared" ref="H44:H45" si="1">F44*G44</f>
        <v>3208.3333333333335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8662.5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 t="e">
        <f>ROUND(H23+H31+H39+H46,0)</f>
        <v>#N/A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2CE4F-292D-4BD6-955E-A50299B1B6A9}">
  <sheetPr>
    <tabColor rgb="FF002060"/>
  </sheetPr>
  <dimension ref="A1:H56"/>
  <sheetViews>
    <sheetView topLeftCell="A22" workbookViewId="0">
      <selection activeCell="D45" sqref="D4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+_xlfn.XLOOKUP(D10,PTO!$D$4:$D$22,PTO!$C$4:$C$22)</f>
        <v>#N/A</v>
      </c>
      <c r="E9" s="24" t="s">
        <v>28</v>
      </c>
      <c r="F9" s="23" t="str">
        <f>+_xlfn.XLOOKUP($D$10,LIST[DESCRIPCIÓN],LIST[UNIDAD])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591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565</v>
      </c>
      <c r="B15" s="479"/>
      <c r="C15" s="479"/>
      <c r="D15" s="480"/>
      <c r="E15" s="65" t="str">
        <f>IF($A15=0,0,VLOOKUP($A15,INS!$A$2:$E$106,2,FALSE))</f>
        <v>M2</v>
      </c>
      <c r="F15" s="414">
        <v>1.1000000000000001</v>
      </c>
      <c r="G15" s="65">
        <f>IF($A15=0,0,_xlfn.XLOOKUP($A15,INS[DESCRIPCIÓN],INS[PROMEDIO]))</f>
        <v>38300</v>
      </c>
      <c r="H15" s="29">
        <f t="shared" ref="H15:H21" si="0">+F15*G15</f>
        <v>42130</v>
      </c>
    </row>
    <row r="16" spans="1:8">
      <c r="A16" s="473" t="s">
        <v>561</v>
      </c>
      <c r="B16" s="474"/>
      <c r="C16" s="474"/>
      <c r="D16" s="475"/>
      <c r="E16" s="65" t="str">
        <f>IF($A16=0,0,VLOOKUP($A16,INS!$A$2:$E$106,2,FALSE))</f>
        <v>UND</v>
      </c>
      <c r="F16" s="415">
        <v>0.1</v>
      </c>
      <c r="G16" s="65">
        <f>IF($A16=0,0,_xlfn.XLOOKUP($A16,INS[DESCRIPCIÓN],INS[PROMEDIO]))</f>
        <v>35000</v>
      </c>
      <c r="H16" s="29">
        <f t="shared" si="0"/>
        <v>3500</v>
      </c>
    </row>
    <row r="17" spans="1:8" ht="17.399999999999999" customHeight="1">
      <c r="A17" s="478" t="s">
        <v>566</v>
      </c>
      <c r="B17" s="479"/>
      <c r="C17" s="479"/>
      <c r="D17" s="480"/>
      <c r="E17" s="65" t="str">
        <f>IF($A17=0,0,VLOOKUP($A17,INS!$A$2:$E$106,2,FALSE))</f>
        <v>UND</v>
      </c>
      <c r="F17" s="142">
        <v>10</v>
      </c>
      <c r="G17" s="65">
        <f>IF($A17=0,0,_xlfn.XLOOKUP($A17,INS[DESCRIPCIÓN],INS[PROMEDIO]))</f>
        <v>110</v>
      </c>
      <c r="H17" s="29">
        <f t="shared" si="0"/>
        <v>1100</v>
      </c>
    </row>
    <row r="18" spans="1:8">
      <c r="A18" s="473"/>
      <c r="B18" s="474"/>
      <c r="C18" s="474"/>
      <c r="D18" s="475"/>
      <c r="E18" s="171">
        <f>IF($A18=0,0,VLOOKUP($A18,[1]INS!$A$2:$E$110,2,FALSE))</f>
        <v>0</v>
      </c>
      <c r="F18" s="142"/>
      <c r="G18" s="65">
        <f>IF($A18=0,0,_xlfn.XLOOKUP($A18,[1]!INS[DESCRIPCIÓN],[1]!INS[PROMEDIO]))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171">
        <f>IF($A19=0,0,VLOOKUP($A19,[1]INS!$A$2:$E$110,2,FALSE))</f>
        <v>0</v>
      </c>
      <c r="F19" s="142"/>
      <c r="G19" s="65">
        <f>IF($A19=0,0,VLOOKUP($A19,[1]INS!$A$2:$G$110,6,FALSE))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171">
        <f>IF($A20=0,0,VLOOKUP($A20,[1]INS!$A$2:$E$110,2,FALSE))</f>
        <v>0</v>
      </c>
      <c r="F20" s="142"/>
      <c r="G20" s="65">
        <f>IF($A20=0,0,VLOOKUP($A20,[1]INS!$A$2:$G$110,6,FALSE))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171">
        <f>IF($A21=0,0,VLOOKUP($A21,[1]INS!$A$2:$E$110,2,FALSE))</f>
        <v>0</v>
      </c>
      <c r="F21" s="142"/>
      <c r="G21" s="65">
        <f>IF($A21=0,0,VLOOKUP($A21,[1]INS!$A$2:$G$110,6,FALSE))</f>
        <v>0</v>
      </c>
      <c r="H21" s="29">
        <f t="shared" si="0"/>
        <v>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0.1</v>
      </c>
      <c r="G22" s="36">
        <f>H46</f>
        <v>31500.000000000004</v>
      </c>
      <c r="H22" s="29">
        <f>F22*G22</f>
        <v>3150.0000000000005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49880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553</v>
      </c>
      <c r="B27" s="467"/>
      <c r="C27" s="467"/>
      <c r="D27" s="69"/>
      <c r="E27" s="23"/>
      <c r="F27" s="65">
        <f>IF($A27=0,0,_xlfn.XLOOKUP($A27,EQUI[DESCRIPCIÓN],EQUI[VALOR]))</f>
        <v>35000</v>
      </c>
      <c r="G27" s="416">
        <f>IF($A27=0,0,_xlfn.XLOOKUP($A27,EQUI[DESCRIPCIÓN],EQUI[RENDIMIENTO]))</f>
        <v>7.0000000000000007E-2</v>
      </c>
      <c r="H27" s="29">
        <f>F27*G27</f>
        <v>2450.0000000000005</v>
      </c>
    </row>
    <row r="28" spans="1:8">
      <c r="A28" s="467"/>
      <c r="B28" s="467"/>
      <c r="C28" s="467"/>
      <c r="D28" s="69"/>
      <c r="E28" s="23"/>
      <c r="F28" s="65">
        <f>IF($A28=0,0,VLOOKUP($A28,[1]EQUI!$A$2:$E$6,3,FALSE))</f>
        <v>0</v>
      </c>
      <c r="G28" s="142">
        <f>+IF($A28=0,0,VLOOKUP($A28,[1]EQUI!$A$2:$E$6,5,FALSE))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2450.0000000000005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578</v>
      </c>
      <c r="B35" s="471"/>
      <c r="C35" s="471"/>
      <c r="D35" s="146">
        <f>IF($A$35=0,0,VLOOKUP($A$35,TRANS!$A$2:$F$38,5,FALSE))</f>
        <v>1</v>
      </c>
      <c r="E35" s="46">
        <f>IF($A$35=0,0,VLOOKUP($A$35,TRANS!$A$2:$D$39,3,FALSE))</f>
        <v>50</v>
      </c>
      <c r="F35" s="169">
        <f>+F15</f>
        <v>1.1000000000000001</v>
      </c>
      <c r="G35" s="145">
        <f>IF($A$35=0,0,VLOOKUP($A$35,TRANS!$A$2:$D$38,4,FALSE))</f>
        <v>200</v>
      </c>
      <c r="H35" s="29">
        <f>+E35*F35*G35*D35</f>
        <v>11000.000000000002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11000.000000000002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[1]MO!F31/8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+IF(AND($E$43=1,$E$44=1),_xlfn.XLOOKUP($D$10,[1]!REND[DESCRIPCIÓN],[1]!REND[RENDIMIENTO (1)]),IF(AND($E$43=1,$E$44=2),_xlfn.XLOOKUP($D$10,[1]!REND[DESCRIPCIÓN],[1]!REND[RENDIMIENTO (2)]),IF(AND($E$43=1,$E$44=3),_xlfn.XLOOKUP($D$10,[1]!REND[DESCRIPCIÓN],[1]!REND[RENDIMIENTO (3)]),IF(AND($E$43=1,$E$44=4),_xlfn.XLOOKUP($D$10,[1]!REND[DESCRIPCIÓN],[1]!REND[RENDIMIENTO (4)]),0))))</f>
        <v>0.8</v>
      </c>
      <c r="H43" s="53">
        <f>F43*G43</f>
        <v>19833.333333333336</v>
      </c>
    </row>
    <row r="44" spans="1:8">
      <c r="A44" s="457" t="s">
        <v>52</v>
      </c>
      <c r="B44" s="458"/>
      <c r="C44" s="458"/>
      <c r="D44" s="52">
        <f>[1]MO!F14/8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+IF(AND($E$43=1,$E$44=1),_xlfn.XLOOKUP($D$10,[1]!REND[DESCRIPCIÓN],[1]!REND[RENDIMIENTO (1)]),IF(AND($E$43=1,$E$44=2),_xlfn.XLOOKUP($D$10,[1]!REND[DESCRIPCIÓN],[1]!REND[RENDIMIENTO (2)]),IF(AND($E$43=1,$E$44=3),_xlfn.XLOOKUP($D$10,[1]!REND[DESCRIPCIÓN],[1]!REND[RENDIMIENTO (3)]),IF(AND($E$43=1,$E$44=4),_xlfn.XLOOKUP($D$10,[1]!REND[DESCRIPCIÓN],[1]!REND[RENDIMIENTO (4)]),0))))</f>
        <v>0.8</v>
      </c>
      <c r="H44" s="53">
        <f t="shared" ref="H44:H45" si="1">F44*G44</f>
        <v>11666.666666666668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31500.000000000004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94830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6375-03A1-421A-8D3F-4FC33C9D96E0}">
  <sheetPr>
    <tabColor rgb="FF002060"/>
  </sheetPr>
  <dimension ref="A1:H56"/>
  <sheetViews>
    <sheetView topLeftCell="B30" workbookViewId="0">
      <selection activeCell="D45" sqref="D4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+[1]PTO!D3</f>
        <v>CONSTRUCCIÓN DE PARQUE BIOSALUDABLE EN EL BARRIO LOS CAMBULOS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+_xlfn.XLOOKUP(D10,[1]PTO!$D$4:$D$22,[1]PTO!$C$4:$C$22)</f>
        <v>#N/A</v>
      </c>
      <c r="E9" s="24" t="s">
        <v>28</v>
      </c>
      <c r="F9" s="23" t="str">
        <f>+_xlfn.XLOOKUP($D$10,[1]!LIST[DESCRIPCIÓN],[1]!LIST[UNIDAD])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589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574</v>
      </c>
      <c r="B15" s="479"/>
      <c r="C15" s="479"/>
      <c r="D15" s="480"/>
      <c r="E15" s="65" t="str">
        <f>IF($A15=0,0,VLOOKUP($A15,[1]INS!$A$2:$E$110,2,FALSE))</f>
        <v>M2</v>
      </c>
      <c r="F15" s="414">
        <v>0.42</v>
      </c>
      <c r="G15" s="65">
        <f>IF($A15=0,0,_xlfn.XLOOKUP($A15,[1]!INS[DESCRIPCIÓN],[1]!INS[PROMEDIO]))</f>
        <v>62458</v>
      </c>
      <c r="H15" s="29">
        <f t="shared" ref="H15:H21" si="0">+F15*G15</f>
        <v>26232.36</v>
      </c>
    </row>
    <row r="16" spans="1:8">
      <c r="A16" s="473"/>
      <c r="B16" s="474"/>
      <c r="C16" s="474"/>
      <c r="D16" s="475"/>
      <c r="E16" s="171">
        <f>IF($A16=0,0,VLOOKUP($A16,[1]INS!$A$2:$E$110,2,FALSE))</f>
        <v>0</v>
      </c>
      <c r="F16" s="415">
        <v>0.1</v>
      </c>
      <c r="G16" s="65">
        <f>IF($A16=0,0,_xlfn.XLOOKUP($A16,[1]!INS[DESCRIPCIÓN],[1]!INS[PROMEDIO]))</f>
        <v>0</v>
      </c>
      <c r="H16" s="29">
        <f t="shared" si="0"/>
        <v>0</v>
      </c>
    </row>
    <row r="17" spans="1:8" ht="17.399999999999999" customHeight="1">
      <c r="A17" s="478"/>
      <c r="B17" s="479"/>
      <c r="C17" s="479"/>
      <c r="D17" s="480"/>
      <c r="E17" s="171">
        <f>IF($A17=0,0,VLOOKUP($A17,[1]INS!$A$2:$E$110,2,FALSE))</f>
        <v>0</v>
      </c>
      <c r="F17" s="142"/>
      <c r="G17" s="65">
        <f>IF($A17=0,0,_xlfn.XLOOKUP($A17,[1]!INS[DESCRIPCIÓN],[1]!INS[PROMEDIO]))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171">
        <f>IF($A18=0,0,VLOOKUP($A18,[1]INS!$A$2:$E$110,2,FALSE))</f>
        <v>0</v>
      </c>
      <c r="F18" s="142"/>
      <c r="G18" s="65">
        <f>IF($A18=0,0,_xlfn.XLOOKUP($A18,[1]!INS[DESCRIPCIÓN],[1]!INS[PROMEDIO]))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171">
        <f>IF($A19=0,0,VLOOKUP($A19,[1]INS!$A$2:$E$110,2,FALSE))</f>
        <v>0</v>
      </c>
      <c r="F19" s="142"/>
      <c r="G19" s="65">
        <f>IF($A19=0,0,VLOOKUP($A19,[1]INS!$A$2:$G$110,6,FALSE))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171">
        <f>IF($A20=0,0,VLOOKUP($A20,[1]INS!$A$2:$E$110,2,FALSE))</f>
        <v>0</v>
      </c>
      <c r="F20" s="142"/>
      <c r="G20" s="65">
        <f>IF($A20=0,0,VLOOKUP($A20,[1]INS!$A$2:$G$110,6,FALSE))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171">
        <f>IF($A21=0,0,VLOOKUP($A21,[1]INS!$A$2:$E$110,2,FALSE))</f>
        <v>0</v>
      </c>
      <c r="F21" s="142"/>
      <c r="G21" s="65">
        <f>IF($A21=0,0,VLOOKUP($A21,[1]INS!$A$2:$G$110,6,FALSE))</f>
        <v>0</v>
      </c>
      <c r="H21" s="29">
        <f t="shared" si="0"/>
        <v>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0.1</v>
      </c>
      <c r="G22" s="36">
        <f>H46</f>
        <v>25593.75</v>
      </c>
      <c r="H22" s="29">
        <f>F22*G22</f>
        <v>2559.375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28791.735000000001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491</v>
      </c>
      <c r="B27" s="467"/>
      <c r="C27" s="467"/>
      <c r="D27" s="69"/>
      <c r="E27" s="23"/>
      <c r="F27" s="65">
        <f>IF($A27=0,0,_xlfn.XLOOKUP($A27,[1]!EQUI[DESCRIPCIÓN],[1]!EQUI[VALOR]))</f>
        <v>10000</v>
      </c>
      <c r="G27" s="416">
        <f>IF($A27=0,0,_xlfn.XLOOKUP($A27,[1]!EQUI[DESCRIPCIÓN],[1]!EQUI[RENDIMIENTO]))</f>
        <v>0.1</v>
      </c>
      <c r="H27" s="29">
        <f>F27*G27</f>
        <v>1000</v>
      </c>
    </row>
    <row r="28" spans="1:8">
      <c r="A28" s="467"/>
      <c r="B28" s="467"/>
      <c r="C28" s="467"/>
      <c r="D28" s="69"/>
      <c r="E28" s="23"/>
      <c r="F28" s="65">
        <f>IF($A28=0,0,VLOOKUP($A28,[1]EQUI!$A$2:$E$6,3,FALSE))</f>
        <v>0</v>
      </c>
      <c r="G28" s="142">
        <f>+IF($A28=0,0,VLOOKUP($A28,[1]EQUI!$A$2:$E$6,5,FALSE))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IF($A$35=0,0,VLOOKUP($A$35,[1]TRANS!$A$2:$F$38,5,FALSE))</f>
        <v>0</v>
      </c>
      <c r="E35" s="46">
        <f>IF($A$35=0,0,VLOOKUP($A$35,[1]TRANS!$A$2:$D$39,3,FALSE))</f>
        <v>0</v>
      </c>
      <c r="F35" s="169"/>
      <c r="G35" s="145">
        <f>IF($A$35=0,0,VLOOKUP($A$35,[1]TRANS!$A$2:$D$38,4,FALSE))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[1]MO!F31/8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+IF(AND($E$43=1,$E$44=1),_xlfn.XLOOKUP($D$10,[1]!REND[DESCRIPCIÓN],[1]!REND[RENDIMIENTO (1)]),IF(AND($E$43=1,$E$44=2),_xlfn.XLOOKUP($D$10,[1]!REND[DESCRIPCIÓN],[1]!REND[RENDIMIENTO (2)]),IF(AND($E$43=1,$E$44=3),_xlfn.XLOOKUP($D$10,[1]!REND[DESCRIPCIÓN],[1]!REND[RENDIMIENTO (3)]),IF(AND($E$43=1,$E$44=4),_xlfn.XLOOKUP($D$10,[1]!REND[DESCRIPCIÓN],[1]!REND[RENDIMIENTO (4)]),0))))</f>
        <v>0.65</v>
      </c>
      <c r="H43" s="53">
        <f>F43*G43</f>
        <v>16114.583333333334</v>
      </c>
    </row>
    <row r="44" spans="1:8">
      <c r="A44" s="457" t="s">
        <v>52</v>
      </c>
      <c r="B44" s="458"/>
      <c r="C44" s="458"/>
      <c r="D44" s="52">
        <f>[1]MO!F14/8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+IF(AND($E$43=1,$E$44=1),_xlfn.XLOOKUP($D$10,[1]!REND[DESCRIPCIÓN],[1]!REND[RENDIMIENTO (1)]),IF(AND($E$43=1,$E$44=2),_xlfn.XLOOKUP($D$10,[1]!REND[DESCRIPCIÓN],[1]!REND[RENDIMIENTO (2)]),IF(AND($E$43=1,$E$44=3),_xlfn.XLOOKUP($D$10,[1]!REND[DESCRIPCIÓN],[1]!REND[RENDIMIENTO (3)]),IF(AND($E$43=1,$E$44=4),_xlfn.XLOOKUP($D$10,[1]!REND[DESCRIPCIÓN],[1]!REND[RENDIMIENTO (4)]),0))))</f>
        <v>0.65</v>
      </c>
      <c r="H44" s="53">
        <f t="shared" ref="H44:H45" si="1">F44*G44</f>
        <v>9479.1666666666679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25593.75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55385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2499E-011F-4B60-96E3-EB16D5CD7369}">
  <sheetPr>
    <tabColor rgb="FF002060"/>
  </sheetPr>
  <dimension ref="A1:H56"/>
  <sheetViews>
    <sheetView topLeftCell="A28" workbookViewId="0">
      <selection activeCell="D45" sqref="D4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+_xlfn.XLOOKUP(D10,PTO!$D$4:$D$22,PTO!$C$4:$C$22)</f>
        <v>#N/A</v>
      </c>
      <c r="E9" s="24" t="s">
        <v>28</v>
      </c>
      <c r="F9" s="23" t="str">
        <f>+_xlfn.XLOOKUP($D$10,LIST[DESCRIPCIÓN],LIST[UNIDAD])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587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325</v>
      </c>
      <c r="B15" s="479"/>
      <c r="C15" s="479"/>
      <c r="D15" s="480"/>
      <c r="E15" s="65" t="str">
        <f>IF($A15=0,0,VLOOKUP($A15,[1]INS!$A$2:$E$110,2,FALSE))</f>
        <v>GLN</v>
      </c>
      <c r="F15" s="414">
        <f>1/20</f>
        <v>0.05</v>
      </c>
      <c r="G15" s="65">
        <f>IF($A15=0,0,_xlfn.XLOOKUP($A15,INS[DESCRIPCIÓN],INS[PROMEDIO]))</f>
        <v>140667</v>
      </c>
      <c r="H15" s="29">
        <f t="shared" ref="H15:H21" si="0">+F15*G15</f>
        <v>7033.35</v>
      </c>
    </row>
    <row r="16" spans="1:8">
      <c r="A16" s="473" t="s">
        <v>526</v>
      </c>
      <c r="B16" s="474"/>
      <c r="C16" s="474"/>
      <c r="D16" s="475"/>
      <c r="E16" s="171" t="str">
        <f>IF($A16=0,0,VLOOKUP($A16,[1]INS!$A$2:$E$110,2,FALSE))</f>
        <v>UND</v>
      </c>
      <c r="F16" s="415">
        <v>0.1</v>
      </c>
      <c r="G16" s="65">
        <f>IF($A16=0,0,_xlfn.XLOOKUP($A16,INS[DESCRIPCIÓN],INS[PROMEDIO]))</f>
        <v>17900</v>
      </c>
      <c r="H16" s="29">
        <f t="shared" si="0"/>
        <v>1790</v>
      </c>
    </row>
    <row r="17" spans="1:8" ht="17.399999999999999" customHeight="1">
      <c r="A17" s="478"/>
      <c r="B17" s="479"/>
      <c r="C17" s="479"/>
      <c r="D17" s="480"/>
      <c r="E17" s="171">
        <f>IF($A17=0,0,VLOOKUP($A17,[1]INS!$A$2:$E$110,2,FALSE))</f>
        <v>0</v>
      </c>
      <c r="F17" s="142"/>
      <c r="G17" s="65">
        <f>IF($A17=0,0,_xlfn.XLOOKUP($A17,[1]!INS[DESCRIPCIÓN],[1]!INS[PROMEDIO]))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171">
        <f>IF($A18=0,0,VLOOKUP($A18,[1]INS!$A$2:$E$110,2,FALSE))</f>
        <v>0</v>
      </c>
      <c r="F18" s="142"/>
      <c r="G18" s="65">
        <f>IF($A18=0,0,_xlfn.XLOOKUP($A18,[1]!INS[DESCRIPCIÓN],[1]!INS[PROMEDIO]))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171">
        <f>IF($A19=0,0,VLOOKUP($A19,[1]INS!$A$2:$E$110,2,FALSE))</f>
        <v>0</v>
      </c>
      <c r="F19" s="142"/>
      <c r="G19" s="65">
        <f>IF($A19=0,0,VLOOKUP($A19,[1]INS!$A$2:$G$110,6,FALSE))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171">
        <f>IF($A20=0,0,VLOOKUP($A20,[1]INS!$A$2:$E$110,2,FALSE))</f>
        <v>0</v>
      </c>
      <c r="F20" s="142"/>
      <c r="G20" s="65">
        <f>IF($A20=0,0,VLOOKUP($A20,[1]INS!$A$2:$G$110,6,FALSE))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171">
        <f>IF($A21=0,0,VLOOKUP($A21,[1]INS!$A$2:$E$110,2,FALSE))</f>
        <v>0</v>
      </c>
      <c r="F21" s="142"/>
      <c r="G21" s="65">
        <f>IF($A21=0,0,VLOOKUP($A21,[1]INS!$A$2:$G$110,6,FALSE))</f>
        <v>0</v>
      </c>
      <c r="H21" s="29">
        <f t="shared" si="0"/>
        <v>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11812.5</v>
      </c>
      <c r="H22" s="29">
        <f>F22*G22</f>
        <v>590.625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9413.9750000000004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491</v>
      </c>
      <c r="B27" s="467"/>
      <c r="C27" s="467"/>
      <c r="D27" s="69"/>
      <c r="E27" s="23"/>
      <c r="F27" s="65">
        <f>IF($A27=0,0,_xlfn.XLOOKUP($A27,[1]!EQUI[DESCRIPCIÓN],[1]!EQUI[VALOR]))</f>
        <v>10000</v>
      </c>
      <c r="G27" s="416">
        <f>IF($A27=0,0,_xlfn.XLOOKUP($A27,[1]!EQUI[DESCRIPCIÓN],[1]!EQUI[RENDIMIENTO]))</f>
        <v>0.1</v>
      </c>
      <c r="H27" s="29">
        <f>F27*G27</f>
        <v>1000</v>
      </c>
    </row>
    <row r="28" spans="1:8">
      <c r="A28" s="467"/>
      <c r="B28" s="467"/>
      <c r="C28" s="467"/>
      <c r="D28" s="69"/>
      <c r="E28" s="23"/>
      <c r="F28" s="65">
        <f>IF($A28=0,0,VLOOKUP($A28,[1]EQUI!$A$2:$E$6,3,FALSE))</f>
        <v>0</v>
      </c>
      <c r="G28" s="142">
        <f>+IF($A28=0,0,VLOOKUP($A28,[1]EQUI!$A$2:$E$6,5,FALSE))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IF($A$35=0,0,VLOOKUP($A$35,[1]TRANS!$A$2:$F$38,5,FALSE))</f>
        <v>0</v>
      </c>
      <c r="E35" s="46">
        <f>IF($A$35=0,0,VLOOKUP($A$35,[1]TRANS!$A$2:$D$39,3,FALSE))</f>
        <v>0</v>
      </c>
      <c r="F35" s="169"/>
      <c r="G35" s="145">
        <f>IF($A$35=0,0,VLOOKUP($A$35,[1]TRANS!$A$2:$D$38,4,FALSE))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[1]MO!F31/8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+IF(AND($E$43=1,$E$44=1),_xlfn.XLOOKUP($D$10,[1]!REND[DESCRIPCIÓN],[1]!REND[RENDIMIENTO (1)]),IF(AND($E$43=1,$E$44=2),_xlfn.XLOOKUP($D$10,[1]!REND[DESCRIPCIÓN],[1]!REND[RENDIMIENTO (2)]),IF(AND($E$43=1,$E$44=3),_xlfn.XLOOKUP($D$10,[1]!REND[DESCRIPCIÓN],[1]!REND[RENDIMIENTO (3)]),IF(AND($E$43=1,$E$44=4),_xlfn.XLOOKUP($D$10,[1]!REND[DESCRIPCIÓN],[1]!REND[RENDIMIENTO (4)]),0))))</f>
        <v>0.3</v>
      </c>
      <c r="H43" s="53">
        <f>F43*G43</f>
        <v>7437.5</v>
      </c>
    </row>
    <row r="44" spans="1:8">
      <c r="A44" s="457" t="s">
        <v>52</v>
      </c>
      <c r="B44" s="458"/>
      <c r="C44" s="458"/>
      <c r="D44" s="52">
        <f>[1]MO!F14/8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+IF(AND($E$43=1,$E$44=1),_xlfn.XLOOKUP($D$10,[1]!REND[DESCRIPCIÓN],[1]!REND[RENDIMIENTO (1)]),IF(AND($E$43=1,$E$44=2),_xlfn.XLOOKUP($D$10,[1]!REND[DESCRIPCIÓN],[1]!REND[RENDIMIENTO (2)]),IF(AND($E$43=1,$E$44=3),_xlfn.XLOOKUP($D$10,[1]!REND[DESCRIPCIÓN],[1]!REND[RENDIMIENTO (3)]),IF(AND($E$43=1,$E$44=4),_xlfn.XLOOKUP($D$10,[1]!REND[DESCRIPCIÓN],[1]!REND[RENDIMIENTO (4)]),0))))</f>
        <v>0.3</v>
      </c>
      <c r="H44" s="53">
        <f t="shared" ref="H44:H45" si="1">F44*G44</f>
        <v>4375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11812.5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22226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7B907-48A0-4A3F-A761-3BED76CB2DBD}">
  <sheetPr>
    <tabColor rgb="FF002060"/>
  </sheetPr>
  <dimension ref="A1:H56"/>
  <sheetViews>
    <sheetView topLeftCell="A31" workbookViewId="0">
      <selection activeCell="D45" sqref="D4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+_xlfn.XLOOKUP(D10,PTO!$D$4:$D$22,PTO!$C$4:$C$22)</f>
        <v>#N/A</v>
      </c>
      <c r="E9" s="24" t="s">
        <v>28</v>
      </c>
      <c r="F9" s="23" t="str">
        <f>+VLOOKUP($D$10,LIST!B3:C61,2,FALSE)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585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558</v>
      </c>
      <c r="B15" s="479"/>
      <c r="C15" s="479"/>
      <c r="D15" s="480"/>
      <c r="E15" s="65" t="str">
        <f>IF($A15=0,0,VLOOKUP($A15,INS!$A$2:$E$106,2,FALSE))</f>
        <v>5 GLN</v>
      </c>
      <c r="F15" s="414">
        <f>(1/4)/5</f>
        <v>0.05</v>
      </c>
      <c r="G15" s="65">
        <f>IF($A15=0,0,_xlfn.XLOOKUP($A15,INS[DESCRIPCIÓN],INS[PROMEDIO]))</f>
        <v>120000</v>
      </c>
      <c r="H15" s="29">
        <f t="shared" ref="H15:H21" si="0">+F15*G15</f>
        <v>6000</v>
      </c>
    </row>
    <row r="16" spans="1:8">
      <c r="A16" s="473" t="s">
        <v>560</v>
      </c>
      <c r="B16" s="474"/>
      <c r="C16" s="474"/>
      <c r="D16" s="475"/>
      <c r="E16" s="65" t="str">
        <f>IF($A16=0,0,VLOOKUP($A16,INS!$A$2:$E$106,2,FALSE))</f>
        <v>UND</v>
      </c>
      <c r="F16" s="415">
        <v>0.08</v>
      </c>
      <c r="G16" s="65">
        <f>IF($A16=0,0,_xlfn.XLOOKUP($A16,INS[DESCRIPCIÓN],INS[PROMEDIO]))</f>
        <v>13500</v>
      </c>
      <c r="H16" s="29">
        <f t="shared" si="0"/>
        <v>1080</v>
      </c>
    </row>
    <row r="17" spans="1:8" ht="17.399999999999999" customHeight="1">
      <c r="A17" s="478"/>
      <c r="B17" s="479"/>
      <c r="C17" s="479"/>
      <c r="D17" s="480"/>
      <c r="E17" s="171">
        <f>IF($A17=0,0,VLOOKUP($A17,[1]INS!$A$2:$E$110,2,FALSE))</f>
        <v>0</v>
      </c>
      <c r="F17" s="142"/>
      <c r="G17" s="65">
        <f>IF($A17=0,0,_xlfn.XLOOKUP($A17,[1]!INS[DESCRIPCIÓN],[1]!INS[PROMEDIO]))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171">
        <f>IF($A18=0,0,VLOOKUP($A18,[1]INS!$A$2:$E$110,2,FALSE))</f>
        <v>0</v>
      </c>
      <c r="F18" s="142"/>
      <c r="G18" s="65">
        <f>IF($A18=0,0,_xlfn.XLOOKUP($A18,[1]!INS[DESCRIPCIÓN],[1]!INS[PROMEDIO]))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171">
        <f>IF($A19=0,0,VLOOKUP($A19,[1]INS!$A$2:$E$110,2,FALSE))</f>
        <v>0</v>
      </c>
      <c r="F19" s="142"/>
      <c r="G19" s="65">
        <f>IF($A19=0,0,VLOOKUP($A19,[1]INS!$A$2:$G$110,6,FALSE))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171">
        <f>IF($A20=0,0,VLOOKUP($A20,[1]INS!$A$2:$E$110,2,FALSE))</f>
        <v>0</v>
      </c>
      <c r="F20" s="142"/>
      <c r="G20" s="65">
        <f>IF($A20=0,0,VLOOKUP($A20,[1]INS!$A$2:$G$110,6,FALSE))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171">
        <f>IF($A21=0,0,VLOOKUP($A21,[1]INS!$A$2:$E$110,2,FALSE))</f>
        <v>0</v>
      </c>
      <c r="F21" s="142"/>
      <c r="G21" s="65">
        <f>IF($A21=0,0,VLOOKUP($A21,[1]INS!$A$2:$G$110,6,FALSE))</f>
        <v>0</v>
      </c>
      <c r="H21" s="29">
        <f t="shared" si="0"/>
        <v>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11025.000000000002</v>
      </c>
      <c r="H22" s="29">
        <f>F22*G22</f>
        <v>551.25000000000011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7631.25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IF($A$35=0,0,VLOOKUP($A$35,[1]TRANS!$A$2:$F$38,5,FALSE))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[1]MO!F31/8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0.28000000000000003</v>
      </c>
      <c r="H43" s="53">
        <f>F43*G43</f>
        <v>6941.6666666666679</v>
      </c>
    </row>
    <row r="44" spans="1:8">
      <c r="A44" s="457" t="s">
        <v>52</v>
      </c>
      <c r="B44" s="458"/>
      <c r="C44" s="458"/>
      <c r="D44" s="52">
        <f>[1]MO!F14/8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0.28000000000000003</v>
      </c>
      <c r="H44" s="53">
        <f t="shared" ref="H44:H45" si="1">F44*G44</f>
        <v>4083.3333333333339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11025.000000000002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18656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B5CFD-9D05-48D9-9393-CCF3F5D0B6C2}">
  <sheetPr>
    <tabColor rgb="FF002060"/>
  </sheetPr>
  <dimension ref="A1:H56"/>
  <sheetViews>
    <sheetView topLeftCell="A23" workbookViewId="0">
      <selection activeCell="D45" sqref="D4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+_xlfn.XLOOKUP(D10,PTO!$D$4:$D$22,PTO!$C$4:$C$22)</f>
        <v>#N/A</v>
      </c>
      <c r="E9" s="24" t="s">
        <v>28</v>
      </c>
      <c r="F9" s="23" t="str">
        <f>+VLOOKUP($D$10,LIST!B3:C61,2,FALSE)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583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562</v>
      </c>
      <c r="B15" s="479"/>
      <c r="C15" s="479"/>
      <c r="D15" s="480"/>
      <c r="E15" s="65" t="str">
        <f>IF($A15=0,0,VLOOKUP($A15,INS!$A$2:$E$106,2,FALSE))</f>
        <v>5 GLN</v>
      </c>
      <c r="F15" s="414">
        <f>1/(5*20)</f>
        <v>0.01</v>
      </c>
      <c r="G15" s="65">
        <f>IF($A15=0,0,_xlfn.XLOOKUP($A15,INS[DESCRIPCIÓN],INS[PROMEDIO]))</f>
        <v>300000</v>
      </c>
      <c r="H15" s="29">
        <f t="shared" ref="H15:H21" si="0">+F15*G15</f>
        <v>3000</v>
      </c>
    </row>
    <row r="16" spans="1:8">
      <c r="A16" s="473" t="s">
        <v>526</v>
      </c>
      <c r="B16" s="474"/>
      <c r="C16" s="474"/>
      <c r="D16" s="475"/>
      <c r="E16" s="65" t="str">
        <f>IF($A16=0,0,VLOOKUP($A16,INS!$A$2:$E$106,2,FALSE))</f>
        <v>UND</v>
      </c>
      <c r="F16" s="415">
        <v>0.1</v>
      </c>
      <c r="G16" s="65">
        <f>IF($A16=0,0,_xlfn.XLOOKUP($A16,INS[DESCRIPCIÓN],INS[PROMEDIO]))</f>
        <v>17900</v>
      </c>
      <c r="H16" s="29">
        <f t="shared" si="0"/>
        <v>1790</v>
      </c>
    </row>
    <row r="17" spans="1:8" ht="17.399999999999999" customHeight="1">
      <c r="A17" s="478"/>
      <c r="B17" s="479"/>
      <c r="C17" s="479"/>
      <c r="D17" s="480"/>
      <c r="E17" s="171">
        <f>IF($A17=0,0,VLOOKUP($A17,[1]INS!$A$2:$E$110,2,FALSE))</f>
        <v>0</v>
      </c>
      <c r="F17" s="142"/>
      <c r="G17" s="65">
        <f>IF($A17=0,0,_xlfn.XLOOKUP($A17,[1]!INS[DESCRIPCIÓN],[1]!INS[PROMEDIO]))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171">
        <f>IF($A18=0,0,VLOOKUP($A18,[1]INS!$A$2:$E$110,2,FALSE))</f>
        <v>0</v>
      </c>
      <c r="F18" s="142"/>
      <c r="G18" s="65">
        <f>IF($A18=0,0,_xlfn.XLOOKUP($A18,[1]!INS[DESCRIPCIÓN],[1]!INS[PROMEDIO]))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171">
        <f>IF($A19=0,0,VLOOKUP($A19,[1]INS!$A$2:$E$110,2,FALSE))</f>
        <v>0</v>
      </c>
      <c r="F19" s="142"/>
      <c r="G19" s="65">
        <f>IF($A19=0,0,VLOOKUP($A19,[1]INS!$A$2:$G$110,6,FALSE))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171">
        <f>IF($A20=0,0,VLOOKUP($A20,[1]INS!$A$2:$E$110,2,FALSE))</f>
        <v>0</v>
      </c>
      <c r="F20" s="142"/>
      <c r="G20" s="65">
        <f>IF($A20=0,0,VLOOKUP($A20,[1]INS!$A$2:$G$110,6,FALSE))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171">
        <f>IF($A21=0,0,VLOOKUP($A21,[1]INS!$A$2:$E$110,2,FALSE))</f>
        <v>0</v>
      </c>
      <c r="F21" s="142"/>
      <c r="G21" s="65">
        <f>IF($A21=0,0,VLOOKUP($A21,[1]INS!$A$2:$G$110,6,FALSE))</f>
        <v>0</v>
      </c>
      <c r="H21" s="29">
        <f t="shared" si="0"/>
        <v>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9843.75</v>
      </c>
      <c r="H22" s="29">
        <f>F22*G22</f>
        <v>492.1875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5282.1875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0.25</v>
      </c>
      <c r="H43" s="53">
        <f>F43*G43</f>
        <v>6197.916666666667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0.25</v>
      </c>
      <c r="H44" s="53">
        <f t="shared" ref="H44:H45" si="1">F44*G44</f>
        <v>3645.8333333333335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9843.75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15126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1DABD-BE21-4B36-8E11-0E7107666597}">
  <sheetPr>
    <tabColor rgb="FF002060"/>
  </sheetPr>
  <dimension ref="A1:H56"/>
  <sheetViews>
    <sheetView topLeftCell="B1" workbookViewId="0">
      <selection activeCell="D45" sqref="D4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+_xlfn.XLOOKUP(D10,PTO!$D$4:$D$22,PTO!$C$4:$C$22)</f>
        <v>#N/A</v>
      </c>
      <c r="E9" s="24" t="s">
        <v>28</v>
      </c>
      <c r="F9" s="23" t="str">
        <f>+VLOOKUP($D$10,[1]LIST!B3:C69,2,FALSE)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581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555</v>
      </c>
      <c r="B15" s="479"/>
      <c r="C15" s="479"/>
      <c r="D15" s="480"/>
      <c r="E15" s="65" t="str">
        <f>IF($A15=0,0,VLOOKUP($A15,INS!$A$2:$E$106,2,FALSE))</f>
        <v>M2</v>
      </c>
      <c r="F15" s="142">
        <v>1</v>
      </c>
      <c r="G15" s="65">
        <f>IF($A15=0,0,_xlfn.XLOOKUP($A15,INS[DESCRIPCIÓN],INS[PROMEDIO]))</f>
        <v>70000</v>
      </c>
      <c r="H15" s="29">
        <f t="shared" ref="H15:H21" si="0">+F15*G15</f>
        <v>70000</v>
      </c>
    </row>
    <row r="16" spans="1:8">
      <c r="A16" s="473" t="s">
        <v>561</v>
      </c>
      <c r="B16" s="474"/>
      <c r="C16" s="474"/>
      <c r="D16" s="475"/>
      <c r="E16" s="65" t="str">
        <f>IF($A16=0,0,VLOOKUP($A16,INS!$A$2:$E$106,2,FALSE))</f>
        <v>UND</v>
      </c>
      <c r="F16" s="142">
        <v>0.25</v>
      </c>
      <c r="G16" s="65">
        <f>IF($A16=0,0,_xlfn.XLOOKUP($A16,INS[DESCRIPCIÓN],INS[PROMEDIO]))</f>
        <v>35000</v>
      </c>
      <c r="H16" s="29">
        <f t="shared" si="0"/>
        <v>8750</v>
      </c>
    </row>
    <row r="17" spans="1:8" ht="17.399999999999999" customHeight="1">
      <c r="A17" s="478" t="s">
        <v>72</v>
      </c>
      <c r="B17" s="479"/>
      <c r="C17" s="479"/>
      <c r="D17" s="480"/>
      <c r="E17" s="65" t="str">
        <f>IF($A17=0,0,VLOOKUP($A17,INS!$A$2:$E$106,2,FALSE))</f>
        <v>BLT</v>
      </c>
      <c r="F17" s="142">
        <v>0.2</v>
      </c>
      <c r="G17" s="65">
        <f>IF($A17=0,0,_xlfn.XLOOKUP($A17,INS[DESCRIPCIÓN],INS[PROMEDIO]))</f>
        <v>37000</v>
      </c>
      <c r="H17" s="29">
        <f t="shared" si="0"/>
        <v>7400</v>
      </c>
    </row>
    <row r="18" spans="1:8">
      <c r="A18" s="473" t="s">
        <v>65</v>
      </c>
      <c r="B18" s="474"/>
      <c r="C18" s="474"/>
      <c r="D18" s="475"/>
      <c r="E18" s="65" t="str">
        <f>IF($A18=0,0,VLOOKUP($A18,INS!$A$2:$E$106,2,FALSE))</f>
        <v>M3</v>
      </c>
      <c r="F18" s="142">
        <v>0.03</v>
      </c>
      <c r="G18" s="65">
        <f>IF($A18=0,0,_xlfn.XLOOKUP($A18,INS[DESCRIPCIÓN],INS[PROMEDIO]))</f>
        <v>71813</v>
      </c>
      <c r="H18" s="29">
        <f t="shared" si="0"/>
        <v>2154.39</v>
      </c>
    </row>
    <row r="19" spans="1:8">
      <c r="A19" s="473"/>
      <c r="B19" s="474"/>
      <c r="C19" s="474"/>
      <c r="D19" s="475"/>
      <c r="E19" s="171">
        <f>IF($A19=0,0,VLOOKUP($A19,[1]INS!$A$2:$E$110,2,FALSE))</f>
        <v>0</v>
      </c>
      <c r="F19" s="142"/>
      <c r="G19" s="65">
        <f>IF($A19=0,0,VLOOKUP($A19,[1]INS!$A$2:$G$110,6,FALSE))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171">
        <f>IF($A20=0,0,VLOOKUP($A20,[1]INS!$A$2:$E$110,2,FALSE))</f>
        <v>0</v>
      </c>
      <c r="F20" s="142"/>
      <c r="G20" s="65">
        <f>IF($A20=0,0,VLOOKUP($A20,[1]INS!$A$2:$G$110,6,FALSE))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171">
        <f>IF($A21=0,0,VLOOKUP($A21,[1]INS!$A$2:$E$110,2,FALSE))</f>
        <v>0</v>
      </c>
      <c r="F21" s="142"/>
      <c r="G21" s="65">
        <f>IF($A21=0,0,VLOOKUP($A21,[1]INS!$A$2:$G$110,6,FALSE))</f>
        <v>0</v>
      </c>
      <c r="H21" s="29">
        <f t="shared" si="0"/>
        <v>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39375</v>
      </c>
      <c r="H22" s="29">
        <f>F22*G22</f>
        <v>1968.75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90273.14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/>
      <c r="G28" s="142"/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IF($A$35=0,0,VLOOKUP($A$35,[1]TRANS!$A$2:$F$38,5,FALSE))</f>
        <v>0</v>
      </c>
      <c r="E35" s="46">
        <f>IF($A$35=0,0,VLOOKUP($A$35,TRANS!$A$2:$D$39,3,FALSE))</f>
        <v>0</v>
      </c>
      <c r="F35" s="169">
        <f>+F15</f>
        <v>1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[1]MO!F31/8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53">
        <f>F43*G43</f>
        <v>24791.666666666668</v>
      </c>
    </row>
    <row r="44" spans="1:8">
      <c r="A44" s="457" t="s">
        <v>52</v>
      </c>
      <c r="B44" s="458"/>
      <c r="C44" s="458"/>
      <c r="D44" s="52">
        <f>[1]MO!F14/8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53">
        <f t="shared" ref="H44:H45" si="1">F44*G44</f>
        <v>14583.333333333334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39375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129648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6958F-1AE1-446D-9ECA-A4183615DA0C}">
  <sheetPr>
    <tabColor rgb="FF00B050"/>
    <pageSetUpPr fitToPage="1"/>
  </sheetPr>
  <dimension ref="A1:U48"/>
  <sheetViews>
    <sheetView view="pageBreakPreview" topLeftCell="A10" zoomScaleSheetLayoutView="100" workbookViewId="0">
      <selection activeCell="O33" sqref="O33"/>
    </sheetView>
  </sheetViews>
  <sheetFormatPr baseColWidth="10" defaultColWidth="10.6640625" defaultRowHeight="14.4"/>
  <cols>
    <col min="1" max="1" width="8.44140625" style="180" customWidth="1"/>
    <col min="2" max="2" width="35.5546875" style="181" customWidth="1"/>
    <col min="3" max="3" width="11" style="181" customWidth="1"/>
    <col min="4" max="4" width="11.88671875" style="181" customWidth="1"/>
    <col min="5" max="5" width="17.44140625" style="181" customWidth="1"/>
    <col min="6" max="6" width="17.33203125" style="181" customWidth="1"/>
    <col min="7" max="7" width="18.33203125" style="181" customWidth="1"/>
    <col min="8" max="8" width="11.6640625" style="181" customWidth="1"/>
    <col min="9" max="9" width="15.5546875" style="180" customWidth="1"/>
    <col min="10" max="10" width="22.6640625" style="180" customWidth="1"/>
    <col min="11" max="11" width="2" style="179" customWidth="1"/>
    <col min="12" max="12" width="22.6640625" style="179" hidden="1" customWidth="1"/>
    <col min="13" max="13" width="18.33203125" style="179" hidden="1" customWidth="1"/>
    <col min="14" max="14" width="17.88671875" style="177" hidden="1" customWidth="1"/>
    <col min="15" max="15" width="22.6640625" style="178" customWidth="1"/>
    <col min="16" max="16" width="16.109375" style="177" bestFit="1" customWidth="1"/>
    <col min="17" max="17" width="11.44140625" hidden="1" customWidth="1"/>
    <col min="18" max="18" width="18" customWidth="1"/>
    <col min="21" max="21" width="18.88671875" bestFit="1" customWidth="1"/>
  </cols>
  <sheetData>
    <row r="1" spans="1:21" ht="27.75" customHeight="1">
      <c r="A1" s="488"/>
      <c r="B1" s="489"/>
      <c r="C1" s="489"/>
      <c r="D1" s="489"/>
      <c r="E1" s="489"/>
      <c r="F1" s="489"/>
      <c r="G1" s="489"/>
      <c r="H1" s="489"/>
      <c r="I1" s="489"/>
      <c r="J1" s="490"/>
      <c r="K1" s="279"/>
    </row>
    <row r="2" spans="1:21" s="177" customFormat="1" ht="43.5" customHeight="1">
      <c r="A2" s="278"/>
      <c r="B2" s="491"/>
      <c r="C2" s="491"/>
      <c r="D2" s="491"/>
      <c r="E2" s="491"/>
      <c r="F2" s="491"/>
      <c r="G2" s="491"/>
      <c r="H2" s="491"/>
      <c r="I2" s="491"/>
      <c r="J2" s="277"/>
      <c r="K2" s="276"/>
      <c r="L2" s="179"/>
      <c r="M2" s="179"/>
      <c r="O2" s="178"/>
      <c r="Q2"/>
    </row>
    <row r="3" spans="1:21" s="177" customFormat="1" ht="15" customHeight="1" thickBot="1">
      <c r="A3" s="275"/>
      <c r="B3" s="274"/>
      <c r="C3" s="274"/>
      <c r="D3" s="274"/>
      <c r="E3" s="274"/>
      <c r="F3" s="274"/>
      <c r="G3" s="274"/>
      <c r="H3" s="274"/>
      <c r="I3" s="274"/>
      <c r="J3" s="273"/>
      <c r="K3" s="179"/>
      <c r="L3" s="179"/>
      <c r="M3" s="179"/>
      <c r="O3" s="178"/>
      <c r="Q3"/>
    </row>
    <row r="4" spans="1:21" s="177" customFormat="1" ht="24" customHeight="1">
      <c r="A4" s="492"/>
      <c r="B4" s="493"/>
      <c r="C4" s="493"/>
      <c r="D4" s="493"/>
      <c r="E4" s="493"/>
      <c r="F4" s="493"/>
      <c r="G4" s="493"/>
      <c r="H4" s="493"/>
      <c r="I4" s="493"/>
      <c r="J4" s="494"/>
      <c r="K4" s="179"/>
      <c r="L4" s="179"/>
      <c r="M4" s="179"/>
      <c r="O4" s="178"/>
      <c r="Q4"/>
    </row>
    <row r="5" spans="1:21" s="177" customFormat="1" ht="9" customHeight="1">
      <c r="A5" s="495"/>
      <c r="B5" s="496"/>
      <c r="C5" s="496"/>
      <c r="D5" s="496"/>
      <c r="E5" s="496"/>
      <c r="F5" s="496"/>
      <c r="G5" s="496"/>
      <c r="H5" s="496"/>
      <c r="I5" s="496"/>
      <c r="J5" s="497"/>
      <c r="K5" s="179"/>
      <c r="L5" s="179"/>
      <c r="M5" s="179"/>
      <c r="O5" s="178"/>
      <c r="Q5"/>
    </row>
    <row r="6" spans="1:21" s="177" customFormat="1" ht="5.25" customHeight="1" thickBot="1">
      <c r="A6" s="498"/>
      <c r="B6" s="499"/>
      <c r="C6" s="499"/>
      <c r="D6" s="499"/>
      <c r="E6" s="499"/>
      <c r="F6" s="499"/>
      <c r="G6" s="499"/>
      <c r="H6" s="499"/>
      <c r="I6" s="499"/>
      <c r="J6" s="500"/>
      <c r="K6" s="179"/>
      <c r="L6" s="179"/>
      <c r="M6" s="179"/>
      <c r="O6" s="178"/>
      <c r="Q6"/>
    </row>
    <row r="7" spans="1:21" s="177" customFormat="1" ht="15" thickBot="1">
      <c r="A7" s="501" t="s">
        <v>374</v>
      </c>
      <c r="B7" s="502"/>
      <c r="C7" s="502"/>
      <c r="D7" s="502"/>
      <c r="E7" s="502"/>
      <c r="F7" s="502"/>
      <c r="G7" s="502"/>
      <c r="H7" s="502"/>
      <c r="I7" s="502"/>
      <c r="J7" s="503"/>
      <c r="K7" s="206"/>
      <c r="L7" s="179"/>
      <c r="M7" s="179"/>
      <c r="O7" s="178"/>
      <c r="Q7"/>
    </row>
    <row r="8" spans="1:21" s="177" customFormat="1" ht="15" thickBot="1">
      <c r="A8" s="504" t="s">
        <v>373</v>
      </c>
      <c r="B8" s="505"/>
      <c r="C8" s="505"/>
      <c r="D8" s="505"/>
      <c r="E8" s="505"/>
      <c r="F8" s="505"/>
      <c r="G8" s="505"/>
      <c r="H8" s="505"/>
      <c r="I8" s="505"/>
      <c r="J8" s="506"/>
      <c r="K8" s="272"/>
      <c r="L8" s="271">
        <f>+L10*0.2</f>
        <v>0</v>
      </c>
      <c r="M8" s="270"/>
      <c r="N8" s="269"/>
      <c r="O8" s="268"/>
      <c r="Q8"/>
    </row>
    <row r="9" spans="1:21" s="177" customFormat="1" ht="15" thickBot="1">
      <c r="A9" s="210"/>
      <c r="B9" s="209"/>
      <c r="C9" s="209"/>
      <c r="D9" s="209"/>
      <c r="E9" s="209"/>
      <c r="F9" s="209"/>
      <c r="G9" s="209"/>
      <c r="H9" s="209"/>
      <c r="I9" s="239"/>
      <c r="J9" s="267"/>
      <c r="K9" s="206"/>
      <c r="L9" s="179"/>
      <c r="M9" s="179"/>
      <c r="O9" s="231"/>
      <c r="Q9"/>
    </row>
    <row r="10" spans="1:21" s="177" customFormat="1" ht="51.75" customHeight="1" thickBot="1">
      <c r="A10" s="509" t="s">
        <v>372</v>
      </c>
      <c r="B10" s="509" t="s">
        <v>371</v>
      </c>
      <c r="C10" s="517"/>
      <c r="D10" s="266"/>
      <c r="E10" s="519"/>
      <c r="F10" s="509"/>
      <c r="G10" s="507" t="s">
        <v>370</v>
      </c>
      <c r="H10" s="509" t="s">
        <v>28</v>
      </c>
      <c r="I10" s="511" t="s">
        <v>369</v>
      </c>
      <c r="J10" s="512"/>
      <c r="K10" s="206"/>
      <c r="L10" s="179">
        <f>+K10/1.28</f>
        <v>0</v>
      </c>
      <c r="M10" s="189"/>
      <c r="O10" s="217"/>
      <c r="Q10"/>
    </row>
    <row r="11" spans="1:21" s="177" customFormat="1" ht="15" thickBot="1">
      <c r="A11" s="510"/>
      <c r="B11" s="510"/>
      <c r="C11" s="518"/>
      <c r="D11" s="265"/>
      <c r="E11" s="520"/>
      <c r="F11" s="510"/>
      <c r="G11" s="508"/>
      <c r="H11" s="510"/>
      <c r="I11" s="264" t="s">
        <v>368</v>
      </c>
      <c r="J11" s="263">
        <f>+PTO!H42</f>
        <v>37706775.400000006</v>
      </c>
      <c r="K11" s="206"/>
      <c r="L11" s="179"/>
      <c r="M11" s="189"/>
      <c r="O11" s="262">
        <f>J11*0.26</f>
        <v>9803761.6040000021</v>
      </c>
      <c r="Q11"/>
    </row>
    <row r="12" spans="1:21" ht="15" thickBot="1">
      <c r="A12" s="513" t="s">
        <v>367</v>
      </c>
      <c r="B12" s="514"/>
      <c r="C12" s="514"/>
      <c r="D12" s="514"/>
      <c r="E12" s="514"/>
      <c r="F12" s="514"/>
      <c r="G12" s="514"/>
      <c r="H12" s="514"/>
      <c r="I12" s="514"/>
      <c r="J12" s="515"/>
      <c r="K12" s="242">
        <v>5826620802</v>
      </c>
      <c r="L12" s="261">
        <v>4482016002</v>
      </c>
      <c r="M12" s="261">
        <f>+L12*0.3</f>
        <v>1344604800.5999999</v>
      </c>
      <c r="N12" s="260">
        <f>+L12+M12</f>
        <v>5826620802.6000004</v>
      </c>
      <c r="O12" s="259">
        <v>95546870.719468594</v>
      </c>
    </row>
    <row r="13" spans="1:21" ht="42.75" customHeight="1" thickBot="1">
      <c r="A13" s="204">
        <v>1</v>
      </c>
      <c r="B13" s="258" t="s">
        <v>366</v>
      </c>
      <c r="C13" s="256" t="s">
        <v>365</v>
      </c>
      <c r="D13" s="256" t="s">
        <v>22</v>
      </c>
      <c r="E13" s="257" t="s">
        <v>364</v>
      </c>
      <c r="F13" s="256" t="s">
        <v>363</v>
      </c>
      <c r="G13" s="255" t="s">
        <v>362</v>
      </c>
      <c r="H13" s="254"/>
      <c r="I13" s="202">
        <f>SUM(I14:I16)</f>
        <v>7.3407894751986655E-2</v>
      </c>
      <c r="J13" s="213">
        <f>SUM(J14:J16)</f>
        <v>2767975</v>
      </c>
      <c r="K13" s="200"/>
      <c r="L13" s="253">
        <f>SUM(L14:L16)</f>
        <v>1.116668425049501E-2</v>
      </c>
      <c r="O13" s="191"/>
    </row>
    <row r="14" spans="1:21">
      <c r="A14" s="210">
        <v>1.1000000000000001</v>
      </c>
      <c r="B14" s="238" t="s">
        <v>361</v>
      </c>
      <c r="C14" s="252">
        <v>1</v>
      </c>
      <c r="D14" s="252">
        <v>0</v>
      </c>
      <c r="E14" s="251">
        <v>1.5817000000000001</v>
      </c>
      <c r="F14" s="250">
        <v>4400000</v>
      </c>
      <c r="G14" s="244">
        <v>0.3</v>
      </c>
      <c r="H14" s="235" t="s">
        <v>149</v>
      </c>
      <c r="I14" s="234">
        <f>+J14/$J$11</f>
        <v>0</v>
      </c>
      <c r="J14" s="233">
        <f>F14*E14*G14*C14*D14</f>
        <v>0</v>
      </c>
      <c r="K14" s="242">
        <v>15152527.500000002</v>
      </c>
      <c r="L14" s="249">
        <f>+K14/$L$12</f>
        <v>3.3807392684984889E-3</v>
      </c>
      <c r="O14" s="191"/>
      <c r="R14" s="248"/>
      <c r="S14" s="247"/>
      <c r="U14" s="240"/>
    </row>
    <row r="15" spans="1:21">
      <c r="A15" s="210">
        <v>1.2</v>
      </c>
      <c r="B15" s="238" t="s">
        <v>360</v>
      </c>
      <c r="C15" s="252">
        <v>1</v>
      </c>
      <c r="D15" s="252">
        <v>1</v>
      </c>
      <c r="E15" s="251">
        <f>+E14</f>
        <v>1.5817000000000001</v>
      </c>
      <c r="F15" s="250">
        <v>3500000</v>
      </c>
      <c r="G15" s="244">
        <v>0.5</v>
      </c>
      <c r="H15" s="235" t="s">
        <v>149</v>
      </c>
      <c r="I15" s="234">
        <f>+J15/$J$11</f>
        <v>7.3407894751986655E-2</v>
      </c>
      <c r="J15" s="233">
        <f>F15*E15*G15*C15*D15</f>
        <v>2767975</v>
      </c>
      <c r="K15" s="242">
        <v>34896730.000000007</v>
      </c>
      <c r="L15" s="249">
        <f>+K15/$L$12</f>
        <v>7.7859449819965209E-3</v>
      </c>
      <c r="R15" s="248"/>
      <c r="S15" s="247"/>
      <c r="U15" s="240"/>
    </row>
    <row r="16" spans="1:21" ht="15" thickBot="1">
      <c r="A16" s="210"/>
      <c r="B16" s="238"/>
      <c r="C16" s="252"/>
      <c r="D16" s="252"/>
      <c r="E16" s="251"/>
      <c r="F16" s="250"/>
      <c r="G16" s="244"/>
      <c r="H16" s="235"/>
      <c r="I16" s="234"/>
      <c r="J16" s="233"/>
      <c r="K16" s="242"/>
      <c r="L16" s="249"/>
      <c r="O16" s="191"/>
      <c r="R16" s="248"/>
      <c r="S16" s="247"/>
      <c r="U16" s="240"/>
    </row>
    <row r="17" spans="1:21" ht="15" thickBot="1">
      <c r="A17" s="204">
        <v>2</v>
      </c>
      <c r="B17" s="215" t="s">
        <v>349</v>
      </c>
      <c r="C17" s="215"/>
      <c r="D17" s="215"/>
      <c r="E17" s="215"/>
      <c r="F17" s="215"/>
      <c r="G17" s="243">
        <f>SUM(G18:G27)</f>
        <v>0.1673</v>
      </c>
      <c r="H17" s="203"/>
      <c r="I17" s="202">
        <f>SUM(I18:I27)</f>
        <v>0.1673</v>
      </c>
      <c r="J17" s="213">
        <f>+SUM(J18:J27)</f>
        <v>6308343.5244200015</v>
      </c>
      <c r="K17" s="242"/>
      <c r="L17" s="232">
        <f>+K17/$L$12</f>
        <v>0</v>
      </c>
      <c r="O17" s="241"/>
      <c r="U17" s="240"/>
    </row>
    <row r="18" spans="1:21">
      <c r="A18" s="210">
        <v>2.1</v>
      </c>
      <c r="B18" s="238" t="s">
        <v>359</v>
      </c>
      <c r="C18" s="238"/>
      <c r="D18" s="238"/>
      <c r="E18" s="238"/>
      <c r="F18" s="238"/>
      <c r="G18" s="236">
        <v>1.5E-3</v>
      </c>
      <c r="H18" s="235" t="s">
        <v>149</v>
      </c>
      <c r="I18" s="234">
        <f t="shared" ref="I18:I27" si="0">J18/$J$11</f>
        <v>1.5E-3</v>
      </c>
      <c r="J18" s="233">
        <f t="shared" ref="J18:J27" si="1">G18*$J$11</f>
        <v>56560.163100000012</v>
      </c>
      <c r="K18" s="206"/>
      <c r="L18" s="232">
        <f>+I18*$L$12</f>
        <v>6723024.0030000005</v>
      </c>
      <c r="O18" s="231"/>
      <c r="R18" s="230"/>
    </row>
    <row r="19" spans="1:21">
      <c r="A19" s="210">
        <v>2.2000000000000002</v>
      </c>
      <c r="B19" s="238" t="s">
        <v>358</v>
      </c>
      <c r="C19" s="238"/>
      <c r="D19" s="238"/>
      <c r="E19" s="238"/>
      <c r="F19" s="238"/>
      <c r="G19" s="236">
        <v>1.5E-3</v>
      </c>
      <c r="H19" s="235" t="s">
        <v>149</v>
      </c>
      <c r="I19" s="234">
        <f t="shared" si="0"/>
        <v>1.5E-3</v>
      </c>
      <c r="J19" s="233">
        <f t="shared" si="1"/>
        <v>56560.163100000012</v>
      </c>
      <c r="K19" s="206"/>
      <c r="L19" s="232"/>
      <c r="O19" s="231"/>
    </row>
    <row r="20" spans="1:21">
      <c r="A20" s="210">
        <v>2.2999999999999998</v>
      </c>
      <c r="B20" s="238" t="s">
        <v>357</v>
      </c>
      <c r="C20" s="238"/>
      <c r="D20" s="238"/>
      <c r="E20" s="238"/>
      <c r="F20" s="238"/>
      <c r="G20" s="236">
        <v>3.3E-3</v>
      </c>
      <c r="H20" s="235" t="s">
        <v>149</v>
      </c>
      <c r="I20" s="234">
        <f t="shared" si="0"/>
        <v>3.3E-3</v>
      </c>
      <c r="J20" s="233">
        <f t="shared" si="1"/>
        <v>124432.35882000002</v>
      </c>
      <c r="K20" s="206"/>
      <c r="L20" s="232"/>
      <c r="O20" s="231"/>
    </row>
    <row r="21" spans="1:21">
      <c r="A21" s="210">
        <v>2.4</v>
      </c>
      <c r="B21" s="238" t="s">
        <v>356</v>
      </c>
      <c r="C21" s="238"/>
      <c r="D21" s="238"/>
      <c r="E21" s="238"/>
      <c r="F21" s="246"/>
      <c r="G21" s="236">
        <v>1E-3</v>
      </c>
      <c r="H21" s="235" t="s">
        <v>149</v>
      </c>
      <c r="I21" s="234">
        <f t="shared" si="0"/>
        <v>1E-3</v>
      </c>
      <c r="J21" s="233">
        <f t="shared" si="1"/>
        <v>37706.775400000006</v>
      </c>
      <c r="K21" s="206"/>
      <c r="L21" s="232"/>
      <c r="O21" s="231"/>
    </row>
    <row r="22" spans="1:21">
      <c r="A22" s="210">
        <v>2.5</v>
      </c>
      <c r="B22" s="238" t="s">
        <v>355</v>
      </c>
      <c r="C22" s="238"/>
      <c r="D22" s="238"/>
      <c r="E22" s="238"/>
      <c r="F22" s="238"/>
      <c r="G22" s="236">
        <v>0.04</v>
      </c>
      <c r="H22" s="235" t="s">
        <v>149</v>
      </c>
      <c r="I22" s="234">
        <f t="shared" si="0"/>
        <v>0.04</v>
      </c>
      <c r="J22" s="233">
        <f t="shared" si="1"/>
        <v>1508271.0160000003</v>
      </c>
      <c r="K22" s="206"/>
      <c r="L22" s="232"/>
      <c r="O22" s="231"/>
    </row>
    <row r="23" spans="1:21">
      <c r="A23" s="210">
        <v>2.6</v>
      </c>
      <c r="B23" s="238" t="s">
        <v>354</v>
      </c>
      <c r="C23" s="238"/>
      <c r="D23" s="238"/>
      <c r="E23" s="238"/>
      <c r="F23" s="238"/>
      <c r="G23" s="236">
        <v>0.02</v>
      </c>
      <c r="H23" s="235" t="s">
        <v>149</v>
      </c>
      <c r="I23" s="234">
        <f t="shared" si="0"/>
        <v>0.02</v>
      </c>
      <c r="J23" s="233">
        <f t="shared" si="1"/>
        <v>754135.50800000015</v>
      </c>
      <c r="K23" s="206"/>
      <c r="L23" s="232">
        <f>+I23*$L$12</f>
        <v>89640320.040000007</v>
      </c>
      <c r="O23" s="245"/>
    </row>
    <row r="24" spans="1:21">
      <c r="A24" s="210">
        <v>2.7</v>
      </c>
      <c r="B24" s="238" t="s">
        <v>353</v>
      </c>
      <c r="C24" s="238"/>
      <c r="D24" s="238"/>
      <c r="E24" s="238"/>
      <c r="F24" s="238"/>
      <c r="G24" s="236">
        <v>0.02</v>
      </c>
      <c r="H24" s="235" t="s">
        <v>149</v>
      </c>
      <c r="I24" s="234">
        <f t="shared" si="0"/>
        <v>0.02</v>
      </c>
      <c r="J24" s="233">
        <f t="shared" si="1"/>
        <v>754135.50800000015</v>
      </c>
      <c r="K24" s="206"/>
      <c r="L24" s="232"/>
      <c r="O24" s="231"/>
    </row>
    <row r="25" spans="1:21">
      <c r="A25" s="210">
        <v>2.8</v>
      </c>
      <c r="B25" s="238" t="s">
        <v>352</v>
      </c>
      <c r="C25" s="238"/>
      <c r="D25" s="238"/>
      <c r="E25" s="238"/>
      <c r="F25" s="238"/>
      <c r="G25" s="236">
        <v>0.02</v>
      </c>
      <c r="H25" s="235" t="s">
        <v>149</v>
      </c>
      <c r="I25" s="234">
        <f t="shared" si="0"/>
        <v>0.02</v>
      </c>
      <c r="J25" s="233">
        <f t="shared" si="1"/>
        <v>754135.50800000015</v>
      </c>
      <c r="K25" s="206"/>
      <c r="L25" s="232"/>
      <c r="O25" s="231"/>
    </row>
    <row r="26" spans="1:21">
      <c r="A26" s="210">
        <v>2.9</v>
      </c>
      <c r="B26" s="238" t="s">
        <v>351</v>
      </c>
      <c r="C26" s="238"/>
      <c r="D26" s="238"/>
      <c r="E26" s="238"/>
      <c r="F26" s="238"/>
      <c r="G26" s="244">
        <v>0.05</v>
      </c>
      <c r="H26" s="235" t="s">
        <v>149</v>
      </c>
      <c r="I26" s="234">
        <f t="shared" si="0"/>
        <v>0.05</v>
      </c>
      <c r="J26" s="233">
        <f t="shared" si="1"/>
        <v>1885338.7700000005</v>
      </c>
      <c r="K26" s="206"/>
      <c r="L26" s="232"/>
      <c r="O26" s="231"/>
    </row>
    <row r="27" spans="1:21" ht="15" thickBot="1">
      <c r="A27" s="210">
        <v>2.9</v>
      </c>
      <c r="B27" s="238" t="s">
        <v>350</v>
      </c>
      <c r="C27" s="238"/>
      <c r="D27" s="238"/>
      <c r="E27" s="238"/>
      <c r="F27" s="238"/>
      <c r="G27" s="244">
        <v>0.01</v>
      </c>
      <c r="H27" s="235" t="s">
        <v>149</v>
      </c>
      <c r="I27" s="234">
        <f t="shared" si="0"/>
        <v>0.01</v>
      </c>
      <c r="J27" s="233">
        <f t="shared" si="1"/>
        <v>377067.75400000007</v>
      </c>
      <c r="K27" s="206"/>
      <c r="L27" s="232"/>
      <c r="O27" s="231"/>
    </row>
    <row r="28" spans="1:21" ht="15" thickBot="1">
      <c r="A28" s="204">
        <v>3</v>
      </c>
      <c r="B28" s="215" t="s">
        <v>349</v>
      </c>
      <c r="C28" s="215"/>
      <c r="D28" s="215"/>
      <c r="E28" s="215"/>
      <c r="F28" s="215"/>
      <c r="G28" s="243"/>
      <c r="H28" s="203"/>
      <c r="I28" s="202">
        <f>SUM(I29:I31)</f>
        <v>9.3110614194816376E-3</v>
      </c>
      <c r="J28" s="213">
        <f>+SUM(J29:J31)</f>
        <v>351090.10167999938</v>
      </c>
      <c r="K28" s="242"/>
      <c r="L28" s="232">
        <f>+K28/$L$12</f>
        <v>0</v>
      </c>
      <c r="O28" s="241"/>
      <c r="U28" s="240"/>
    </row>
    <row r="29" spans="1:21">
      <c r="A29" s="210">
        <v>3.1</v>
      </c>
      <c r="B29" s="238" t="s">
        <v>348</v>
      </c>
      <c r="C29" s="239">
        <v>0</v>
      </c>
      <c r="D29" s="238"/>
      <c r="E29" s="238"/>
      <c r="F29" s="237">
        <v>800000</v>
      </c>
      <c r="G29" s="236"/>
      <c r="H29" s="235"/>
      <c r="I29" s="234">
        <f>J29/$J$11</f>
        <v>0</v>
      </c>
      <c r="J29" s="233">
        <f>+F29*C29</f>
        <v>0</v>
      </c>
      <c r="K29" s="206"/>
      <c r="L29" s="232">
        <f>+I29*$L$12</f>
        <v>0</v>
      </c>
      <c r="O29" s="231"/>
      <c r="R29" s="230"/>
    </row>
    <row r="30" spans="1:21">
      <c r="A30" s="210">
        <v>3.2</v>
      </c>
      <c r="B30" s="238" t="s">
        <v>347</v>
      </c>
      <c r="C30" s="239">
        <v>0</v>
      </c>
      <c r="D30" s="238"/>
      <c r="E30" s="238"/>
      <c r="F30" s="237">
        <v>500000</v>
      </c>
      <c r="G30" s="236"/>
      <c r="H30" s="235"/>
      <c r="I30" s="234">
        <f>J30/$J$11</f>
        <v>0</v>
      </c>
      <c r="J30" s="233">
        <f>+F30*C30</f>
        <v>0</v>
      </c>
      <c r="K30" s="206"/>
      <c r="L30" s="232"/>
      <c r="O30" s="231"/>
      <c r="R30" s="230"/>
    </row>
    <row r="31" spans="1:21" ht="15" thickBot="1">
      <c r="A31" s="210">
        <v>3.3</v>
      </c>
      <c r="B31" s="238" t="s">
        <v>346</v>
      </c>
      <c r="C31" s="239">
        <v>1</v>
      </c>
      <c r="D31" s="238"/>
      <c r="E31" s="238"/>
      <c r="F31" s="237">
        <v>351090.10167999938</v>
      </c>
      <c r="G31" s="236"/>
      <c r="H31" s="235"/>
      <c r="I31" s="234">
        <f>J31/$J$11</f>
        <v>9.3110614194816376E-3</v>
      </c>
      <c r="J31" s="233">
        <f>+F31*C31</f>
        <v>351090.10167999938</v>
      </c>
      <c r="K31" s="206"/>
      <c r="L31" s="232"/>
      <c r="O31" s="231"/>
      <c r="R31" s="230"/>
    </row>
    <row r="32" spans="1:21" ht="15" thickBot="1">
      <c r="A32" s="204"/>
      <c r="B32" s="215" t="s">
        <v>345</v>
      </c>
      <c r="C32" s="215"/>
      <c r="D32" s="215"/>
      <c r="E32" s="215"/>
      <c r="F32" s="215"/>
      <c r="G32" s="214"/>
      <c r="H32" s="203"/>
      <c r="I32" s="202">
        <f>I17+I13+I28</f>
        <v>0.2500189561714683</v>
      </c>
      <c r="J32" s="201">
        <f>J13+J17+J28</f>
        <v>9427408.6261</v>
      </c>
      <c r="K32" s="229"/>
      <c r="L32" s="199">
        <f>+L12*22/100</f>
        <v>986043520.44000006</v>
      </c>
      <c r="M32" s="228">
        <f>+J32-L32</f>
        <v>-976616111.81390011</v>
      </c>
      <c r="O32" s="221">
        <f>+PTO!H43</f>
        <v>9426693.8499999996</v>
      </c>
      <c r="P32" s="227"/>
      <c r="R32" s="216"/>
    </row>
    <row r="33" spans="1:18" ht="15" thickBot="1">
      <c r="A33" s="226"/>
      <c r="B33" s="225"/>
      <c r="C33" s="225"/>
      <c r="D33" s="225"/>
      <c r="E33" s="225"/>
      <c r="F33" s="225"/>
      <c r="G33" s="225"/>
      <c r="H33" s="224"/>
      <c r="I33" s="223"/>
      <c r="J33" s="222"/>
      <c r="K33" s="218"/>
      <c r="O33" s="221">
        <v>9428854.5999999996</v>
      </c>
    </row>
    <row r="34" spans="1:18" ht="15" thickBot="1">
      <c r="A34" s="204"/>
      <c r="B34" s="215" t="s">
        <v>344</v>
      </c>
      <c r="C34" s="215"/>
      <c r="D34" s="215"/>
      <c r="E34" s="215"/>
      <c r="F34" s="215"/>
      <c r="G34" s="214"/>
      <c r="H34" s="203"/>
      <c r="I34" s="202">
        <v>0.01</v>
      </c>
      <c r="J34" s="213">
        <f>+I34*J11</f>
        <v>377067.75400000007</v>
      </c>
      <c r="K34" s="218"/>
      <c r="L34" s="199">
        <f>+L12*3/100</f>
        <v>134460480.06</v>
      </c>
      <c r="O34" s="212"/>
    </row>
    <row r="35" spans="1:18" ht="15" thickBot="1">
      <c r="A35" s="210"/>
      <c r="B35" s="209"/>
      <c r="C35" s="209"/>
      <c r="D35" s="209"/>
      <c r="E35" s="209"/>
      <c r="F35" s="209"/>
      <c r="G35" s="209"/>
      <c r="H35" s="209"/>
      <c r="I35" s="220"/>
      <c r="J35" s="219"/>
      <c r="K35" s="218"/>
      <c r="L35" s="199"/>
      <c r="O35" s="217"/>
      <c r="R35" s="216"/>
    </row>
    <row r="36" spans="1:18" ht="15" thickBot="1">
      <c r="A36" s="204"/>
      <c r="B36" s="215" t="s">
        <v>343</v>
      </c>
      <c r="C36" s="215"/>
      <c r="D36" s="215"/>
      <c r="E36" s="215"/>
      <c r="F36" s="215"/>
      <c r="G36" s="214"/>
      <c r="H36" s="203"/>
      <c r="I36" s="202">
        <v>0.04</v>
      </c>
      <c r="J36" s="213">
        <f>I36*J11</f>
        <v>1508271.0160000003</v>
      </c>
      <c r="K36" s="206"/>
      <c r="L36" s="199">
        <f>+L12*5/100</f>
        <v>224100800.09999999</v>
      </c>
      <c r="O36" s="212"/>
      <c r="R36" s="211"/>
    </row>
    <row r="37" spans="1:18" ht="15" thickBot="1">
      <c r="A37" s="210"/>
      <c r="B37" s="209"/>
      <c r="C37" s="209"/>
      <c r="D37" s="209"/>
      <c r="E37" s="209"/>
      <c r="F37" s="209"/>
      <c r="G37" s="209"/>
      <c r="H37" s="209"/>
      <c r="I37" s="208"/>
      <c r="J37" s="207"/>
      <c r="K37" s="206"/>
      <c r="L37" s="199"/>
      <c r="O37" s="205"/>
    </row>
    <row r="38" spans="1:18" ht="15" thickBot="1">
      <c r="A38" s="204"/>
      <c r="B38" s="505" t="s">
        <v>342</v>
      </c>
      <c r="C38" s="505"/>
      <c r="D38" s="505"/>
      <c r="E38" s="505"/>
      <c r="F38" s="505"/>
      <c r="G38" s="505"/>
      <c r="H38" s="203"/>
      <c r="I38" s="202">
        <f>+I32+I34+I36</f>
        <v>0.30001895617146829</v>
      </c>
      <c r="J38" s="201">
        <f>+J32+J34+J36</f>
        <v>11312747.396100001</v>
      </c>
      <c r="K38" s="200"/>
      <c r="L38" s="199"/>
      <c r="O38" s="198">
        <v>117660988.56999999</v>
      </c>
    </row>
    <row r="39" spans="1:18" ht="75" customHeight="1">
      <c r="A39" s="197"/>
      <c r="B39" s="196"/>
      <c r="C39" s="196"/>
      <c r="D39" s="196"/>
      <c r="E39" s="196"/>
      <c r="F39" s="196"/>
      <c r="G39" s="196"/>
      <c r="H39" s="196"/>
      <c r="I39" s="195"/>
      <c r="J39" s="194"/>
      <c r="K39" s="193"/>
    </row>
    <row r="40" spans="1:18" ht="38.25" customHeight="1">
      <c r="A40" s="192"/>
      <c r="B40" s="192"/>
      <c r="C40" s="192"/>
      <c r="D40" s="192"/>
      <c r="E40" s="516"/>
      <c r="F40" s="516"/>
      <c r="G40" s="192"/>
      <c r="H40" s="192"/>
      <c r="I40" s="192"/>
      <c r="J40" s="192"/>
      <c r="K40" s="190"/>
      <c r="O40" s="191"/>
    </row>
    <row r="41" spans="1:18">
      <c r="A41" s="442" t="s">
        <v>655</v>
      </c>
      <c r="B41" s="442"/>
      <c r="C41" s="442"/>
      <c r="D41" s="442"/>
      <c r="E41" s="442"/>
      <c r="F41" s="442"/>
      <c r="G41" s="442"/>
      <c r="H41" s="442"/>
      <c r="I41" s="442"/>
      <c r="J41" s="442"/>
      <c r="K41" s="190"/>
      <c r="L41" s="189">
        <f>+J33+J35+J37</f>
        <v>0</v>
      </c>
    </row>
    <row r="42" spans="1:18">
      <c r="A42" s="444" t="s">
        <v>534</v>
      </c>
      <c r="B42" s="444"/>
      <c r="C42" s="444"/>
      <c r="D42" s="444"/>
      <c r="E42" s="444"/>
      <c r="F42" s="444"/>
      <c r="G42" s="444"/>
      <c r="H42" s="444"/>
      <c r="I42" s="444"/>
      <c r="J42" s="444"/>
      <c r="K42" s="190"/>
      <c r="L42" s="189"/>
    </row>
    <row r="43" spans="1:18" s="179" customFormat="1" ht="9.6" hidden="1" customHeight="1">
      <c r="A43" s="183"/>
      <c r="B43" s="188"/>
      <c r="C43" s="187"/>
      <c r="D43" s="187"/>
      <c r="E43" s="187"/>
      <c r="F43" s="187"/>
      <c r="G43" s="187"/>
      <c r="H43" s="187"/>
      <c r="I43" s="186"/>
      <c r="J43" s="186"/>
      <c r="K43" s="185"/>
      <c r="N43" s="177"/>
      <c r="O43" s="178"/>
      <c r="P43" s="177"/>
    </row>
    <row r="44" spans="1:18" s="179" customFormat="1" ht="15.6" hidden="1">
      <c r="A44" s="183"/>
      <c r="B44" s="187"/>
      <c r="C44" s="187"/>
      <c r="D44" s="187"/>
      <c r="E44" s="187"/>
      <c r="F44" s="187"/>
      <c r="G44" s="187"/>
      <c r="H44" s="187"/>
      <c r="I44" s="186"/>
      <c r="J44" s="186"/>
      <c r="K44" s="185"/>
      <c r="N44" s="177"/>
      <c r="O44" s="178"/>
      <c r="P44" s="177"/>
    </row>
    <row r="45" spans="1:18" s="179" customFormat="1" ht="15.6">
      <c r="A45" s="184"/>
      <c r="B45" s="181"/>
      <c r="C45" s="181"/>
      <c r="D45" s="181"/>
      <c r="E45" s="181"/>
      <c r="F45" s="181"/>
      <c r="G45" s="181"/>
      <c r="H45" s="181"/>
      <c r="I45" s="180"/>
      <c r="J45" s="180"/>
      <c r="N45" s="177"/>
      <c r="O45" s="178"/>
      <c r="P45" s="177"/>
    </row>
    <row r="46" spans="1:18" s="179" customFormat="1" ht="15.6">
      <c r="A46" s="183"/>
      <c r="B46" s="181"/>
      <c r="C46" s="181"/>
      <c r="D46" s="181"/>
      <c r="E46" s="181"/>
      <c r="G46" s="181"/>
      <c r="H46" s="181"/>
      <c r="I46" s="180"/>
      <c r="J46" s="180"/>
      <c r="N46" s="177"/>
      <c r="O46" s="178"/>
      <c r="P46" s="177"/>
    </row>
    <row r="47" spans="1:18" s="179" customFormat="1" ht="15.6">
      <c r="A47" s="183"/>
      <c r="B47" s="181"/>
      <c r="C47" s="181"/>
      <c r="D47" s="181"/>
      <c r="E47" s="181"/>
      <c r="F47" s="181"/>
      <c r="G47" s="181"/>
      <c r="H47" s="181"/>
      <c r="I47" s="180"/>
      <c r="J47" s="180"/>
      <c r="N47" s="177"/>
      <c r="O47" s="178"/>
      <c r="P47" s="177"/>
    </row>
    <row r="48" spans="1:18" s="179" customFormat="1" ht="15.6">
      <c r="A48" s="182"/>
      <c r="B48" s="181"/>
      <c r="C48" s="181"/>
      <c r="D48" s="181"/>
      <c r="E48" s="181"/>
      <c r="F48" s="181"/>
      <c r="G48" s="181"/>
      <c r="H48" s="181"/>
      <c r="I48" s="180"/>
      <c r="J48" s="180"/>
      <c r="N48" s="177"/>
      <c r="O48" s="178"/>
      <c r="P48" s="177"/>
    </row>
  </sheetData>
  <sheetProtection selectLockedCells="1" selectUnlockedCells="1"/>
  <mergeCells count="18">
    <mergeCell ref="A42:J42"/>
    <mergeCell ref="G10:G11"/>
    <mergeCell ref="H10:H11"/>
    <mergeCell ref="I10:J10"/>
    <mergeCell ref="A12:J12"/>
    <mergeCell ref="B38:G38"/>
    <mergeCell ref="E40:F40"/>
    <mergeCell ref="A10:A11"/>
    <mergeCell ref="B10:B11"/>
    <mergeCell ref="C10:C11"/>
    <mergeCell ref="A41:J41"/>
    <mergeCell ref="E10:E11"/>
    <mergeCell ref="F10:F11"/>
    <mergeCell ref="A1:J1"/>
    <mergeCell ref="B2:I2"/>
    <mergeCell ref="A4:J6"/>
    <mergeCell ref="A7:J7"/>
    <mergeCell ref="A8:J8"/>
  </mergeCells>
  <printOptions horizontalCentered="1" verticalCentered="1"/>
  <pageMargins left="0.19685039370078741" right="0.19685039370078741" top="0.19685039370078741" bottom="0.19685039370078741" header="0" footer="0"/>
  <pageSetup paperSize="9" scale="63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34323-2CC6-4478-90F9-0A81DA11B9FE}">
  <dimension ref="A1:F111"/>
  <sheetViews>
    <sheetView topLeftCell="B47" workbookViewId="0">
      <selection activeCell="D45" sqref="D45"/>
    </sheetView>
  </sheetViews>
  <sheetFormatPr baseColWidth="10" defaultRowHeight="14.4"/>
  <cols>
    <col min="1" max="1" width="11.5546875" style="127"/>
    <col min="2" max="2" width="63.33203125" customWidth="1"/>
    <col min="4" max="4" width="16" customWidth="1"/>
  </cols>
  <sheetData>
    <row r="1" spans="1:6" ht="17.25" customHeight="1">
      <c r="A1" s="127" t="s">
        <v>381</v>
      </c>
      <c r="B1" s="292" t="s">
        <v>371</v>
      </c>
      <c r="C1" s="280" t="s">
        <v>28</v>
      </c>
      <c r="D1" s="281" t="s">
        <v>388</v>
      </c>
    </row>
    <row r="2" spans="1:6" s="144" customFormat="1">
      <c r="A2" s="282" t="s">
        <v>385</v>
      </c>
      <c r="B2" s="283" t="s">
        <v>383</v>
      </c>
      <c r="C2" s="284"/>
      <c r="D2" s="331"/>
    </row>
    <row r="3" spans="1:6">
      <c r="A3" s="285" t="s">
        <v>382</v>
      </c>
      <c r="B3" s="124" t="s">
        <v>294</v>
      </c>
      <c r="C3" s="127" t="s">
        <v>9</v>
      </c>
      <c r="D3" s="332">
        <f>+'P-0001'!H48</f>
        <v>38328</v>
      </c>
      <c r="F3" t="str">
        <f>+TEXT(LIST[[#This Row],[ID]],"XXXXXX")</f>
        <v>P-0001</v>
      </c>
    </row>
    <row r="4" spans="1:6">
      <c r="A4" s="285" t="s">
        <v>389</v>
      </c>
      <c r="B4" s="286" t="s">
        <v>85</v>
      </c>
      <c r="C4" s="287" t="s">
        <v>9</v>
      </c>
      <c r="D4" s="332">
        <f>+'P-0002'!H48</f>
        <v>39966</v>
      </c>
    </row>
    <row r="5" spans="1:6">
      <c r="A5" s="285" t="s">
        <v>390</v>
      </c>
      <c r="B5" s="286" t="s">
        <v>316</v>
      </c>
      <c r="C5" s="287" t="s">
        <v>295</v>
      </c>
      <c r="D5" s="332">
        <f>+'P-0003'!H48</f>
        <v>719688</v>
      </c>
    </row>
    <row r="6" spans="1:6">
      <c r="A6" s="285" t="s">
        <v>391</v>
      </c>
      <c r="B6" s="286" t="s">
        <v>315</v>
      </c>
      <c r="C6" s="287" t="s">
        <v>9</v>
      </c>
      <c r="D6" s="332">
        <f>+'P-0004'!H48</f>
        <v>16553</v>
      </c>
    </row>
    <row r="7" spans="1:6">
      <c r="A7" s="285" t="s">
        <v>392</v>
      </c>
      <c r="B7" s="286" t="s">
        <v>400</v>
      </c>
      <c r="C7" s="287" t="s">
        <v>11</v>
      </c>
      <c r="D7" s="332">
        <f>+'P-0005'!H45</f>
        <v>41022</v>
      </c>
    </row>
    <row r="8" spans="1:6">
      <c r="A8" s="285" t="s">
        <v>393</v>
      </c>
      <c r="B8" s="286" t="s">
        <v>312</v>
      </c>
      <c r="C8" s="287" t="s">
        <v>11</v>
      </c>
      <c r="D8" s="332">
        <f>+'P-0006'!H48</f>
        <v>368241</v>
      </c>
    </row>
    <row r="9" spans="1:6">
      <c r="A9" s="285" t="s">
        <v>415</v>
      </c>
      <c r="B9" s="286" t="s">
        <v>413</v>
      </c>
      <c r="C9" s="287" t="s">
        <v>5</v>
      </c>
      <c r="D9" s="332">
        <f>+'P-0007'!H48</f>
        <v>93559</v>
      </c>
    </row>
    <row r="10" spans="1:6">
      <c r="A10" s="285" t="s">
        <v>535</v>
      </c>
      <c r="B10" s="286" t="s">
        <v>536</v>
      </c>
      <c r="C10" s="287" t="s">
        <v>9</v>
      </c>
      <c r="D10" s="332">
        <f>+'P-0008'!H48</f>
        <v>4422</v>
      </c>
    </row>
    <row r="11" spans="1:6">
      <c r="A11" s="285" t="s">
        <v>537</v>
      </c>
      <c r="B11" s="286" t="s">
        <v>538</v>
      </c>
      <c r="C11" s="287" t="s">
        <v>9</v>
      </c>
      <c r="D11" s="332">
        <f>+'P-0009'!H48</f>
        <v>50982</v>
      </c>
    </row>
    <row r="12" spans="1:6" ht="28.8">
      <c r="A12" s="285" t="s">
        <v>539</v>
      </c>
      <c r="B12" s="286" t="s">
        <v>540</v>
      </c>
      <c r="C12" s="287" t="s">
        <v>9</v>
      </c>
      <c r="D12" s="332">
        <f>+'P-0010'!H48</f>
        <v>75162</v>
      </c>
    </row>
    <row r="13" spans="1:6">
      <c r="A13" s="285" t="s">
        <v>541</v>
      </c>
      <c r="B13" s="286" t="s">
        <v>542</v>
      </c>
      <c r="C13" s="287" t="s">
        <v>11</v>
      </c>
      <c r="D13" s="332">
        <f>+'P-0011'!H48</f>
        <v>30161</v>
      </c>
    </row>
    <row r="14" spans="1:6">
      <c r="A14" s="285" t="s">
        <v>543</v>
      </c>
      <c r="B14" s="286" t="s">
        <v>544</v>
      </c>
      <c r="C14" s="287" t="s">
        <v>11</v>
      </c>
      <c r="D14" s="332">
        <f>+'P-0012'!H48</f>
        <v>119091</v>
      </c>
    </row>
    <row r="15" spans="1:6">
      <c r="A15" s="285" t="s">
        <v>545</v>
      </c>
      <c r="B15" s="286" t="s">
        <v>546</v>
      </c>
      <c r="C15" s="287" t="s">
        <v>9</v>
      </c>
      <c r="D15" s="332">
        <f>+'P-0013'!H48</f>
        <v>12504</v>
      </c>
    </row>
    <row r="16" spans="1:6">
      <c r="A16" s="285"/>
      <c r="B16" s="286"/>
      <c r="C16" s="287"/>
      <c r="D16" s="333"/>
    </row>
    <row r="17" spans="1:4">
      <c r="A17" s="285"/>
      <c r="B17" s="286"/>
      <c r="C17" s="287"/>
      <c r="D17" s="333"/>
    </row>
    <row r="18" spans="1:4" s="144" customFormat="1">
      <c r="A18" s="282" t="s">
        <v>386</v>
      </c>
      <c r="B18" s="283" t="s">
        <v>384</v>
      </c>
      <c r="C18" s="284"/>
      <c r="D18" s="331"/>
    </row>
    <row r="19" spans="1:4">
      <c r="A19" s="293" t="s">
        <v>395</v>
      </c>
      <c r="B19" s="89" t="s">
        <v>399</v>
      </c>
      <c r="C19" s="127" t="s">
        <v>9</v>
      </c>
      <c r="D19" s="332">
        <f>+'PTA-001'!H45</f>
        <v>193639</v>
      </c>
    </row>
    <row r="20" spans="1:4" ht="17.25" customHeight="1">
      <c r="A20" s="293" t="s">
        <v>394</v>
      </c>
      <c r="B20" s="286" t="s">
        <v>317</v>
      </c>
      <c r="C20" s="127" t="s">
        <v>9</v>
      </c>
      <c r="D20" s="332">
        <f>+'PTA-002'!H45</f>
        <v>191764</v>
      </c>
    </row>
    <row r="21" spans="1:4" ht="32.4" customHeight="1">
      <c r="A21" s="293" t="s">
        <v>396</v>
      </c>
      <c r="B21" s="320" t="s">
        <v>330</v>
      </c>
      <c r="C21" s="127" t="s">
        <v>5</v>
      </c>
      <c r="D21" s="332">
        <f>+'PTA-003'!H45</f>
        <v>105321</v>
      </c>
    </row>
    <row r="22" spans="1:4" ht="32.4" customHeight="1">
      <c r="A22" s="293" t="s">
        <v>397</v>
      </c>
      <c r="B22" s="320" t="s">
        <v>380</v>
      </c>
      <c r="C22" s="127" t="s">
        <v>5</v>
      </c>
      <c r="D22" s="332">
        <f>+'PTA-004'!H48</f>
        <v>112448</v>
      </c>
    </row>
    <row r="23" spans="1:4" ht="28.8">
      <c r="A23" s="293" t="s">
        <v>398</v>
      </c>
      <c r="B23" s="286" t="s">
        <v>459</v>
      </c>
      <c r="C23" s="127" t="s">
        <v>9</v>
      </c>
      <c r="D23" s="332">
        <f>+'PTA-005'!H48</f>
        <v>146466</v>
      </c>
    </row>
    <row r="24" spans="1:4">
      <c r="A24" s="293" t="s">
        <v>401</v>
      </c>
      <c r="B24" s="286" t="s">
        <v>318</v>
      </c>
      <c r="C24" s="127" t="s">
        <v>293</v>
      </c>
      <c r="D24" s="332">
        <f>+'PTA-006'!H48</f>
        <v>81667</v>
      </c>
    </row>
    <row r="25" spans="1:4">
      <c r="A25" s="293" t="s">
        <v>519</v>
      </c>
      <c r="B25" s="286" t="s">
        <v>518</v>
      </c>
      <c r="C25" s="148" t="s">
        <v>9</v>
      </c>
      <c r="D25" s="332">
        <f>+'PTA-007'!H48</f>
        <v>65142</v>
      </c>
    </row>
    <row r="26" spans="1:4">
      <c r="A26" s="293" t="s">
        <v>580</v>
      </c>
      <c r="B26" s="286" t="s">
        <v>581</v>
      </c>
      <c r="C26" s="148" t="s">
        <v>9</v>
      </c>
      <c r="D26" s="332">
        <f>+'PTA-008'!H48</f>
        <v>129648</v>
      </c>
    </row>
    <row r="27" spans="1:4">
      <c r="A27" s="293" t="s">
        <v>582</v>
      </c>
      <c r="B27" s="286" t="s">
        <v>583</v>
      </c>
      <c r="C27" s="148" t="s">
        <v>9</v>
      </c>
      <c r="D27" s="332">
        <f>+'PTA-009'!H48</f>
        <v>15126</v>
      </c>
    </row>
    <row r="28" spans="1:4">
      <c r="A28" s="293" t="s">
        <v>584</v>
      </c>
      <c r="B28" s="413" t="s">
        <v>585</v>
      </c>
      <c r="C28" s="148" t="s">
        <v>9</v>
      </c>
      <c r="D28" s="332">
        <f>+'PTA-010'!H48</f>
        <v>18656</v>
      </c>
    </row>
    <row r="29" spans="1:4">
      <c r="A29" s="293" t="s">
        <v>586</v>
      </c>
      <c r="B29" s="286" t="s">
        <v>587</v>
      </c>
      <c r="C29" s="148" t="s">
        <v>9</v>
      </c>
      <c r="D29" s="332">
        <f>+'PTA-011'!H48</f>
        <v>22226</v>
      </c>
    </row>
    <row r="30" spans="1:4">
      <c r="A30" s="293" t="s">
        <v>588</v>
      </c>
      <c r="B30" s="286" t="s">
        <v>589</v>
      </c>
      <c r="C30" s="148" t="s">
        <v>9</v>
      </c>
      <c r="D30" s="332">
        <f>+'PTA-012'!H48</f>
        <v>55385</v>
      </c>
    </row>
    <row r="31" spans="1:4">
      <c r="A31" s="293" t="s">
        <v>590</v>
      </c>
      <c r="B31" s="286" t="s">
        <v>591</v>
      </c>
      <c r="C31" s="148" t="s">
        <v>9</v>
      </c>
      <c r="D31" s="332">
        <f>+'PTA-013'!H48</f>
        <v>94830</v>
      </c>
    </row>
    <row r="32" spans="1:4">
      <c r="A32" s="293" t="s">
        <v>592</v>
      </c>
      <c r="B32" s="286" t="s">
        <v>593</v>
      </c>
      <c r="C32" s="148" t="s">
        <v>9</v>
      </c>
      <c r="D32" s="332" t="e">
        <f>+'PTA-014'!H48</f>
        <v>#N/A</v>
      </c>
    </row>
    <row r="33" spans="1:4">
      <c r="A33" s="293" t="s">
        <v>594</v>
      </c>
      <c r="B33" s="286" t="s">
        <v>595</v>
      </c>
      <c r="C33" s="148" t="s">
        <v>293</v>
      </c>
      <c r="D33" s="332">
        <f>+'PTA-015'!H48</f>
        <v>12826</v>
      </c>
    </row>
    <row r="34" spans="1:4">
      <c r="A34" s="293" t="s">
        <v>596</v>
      </c>
      <c r="B34" s="286" t="s">
        <v>597</v>
      </c>
      <c r="C34" s="148" t="s">
        <v>9</v>
      </c>
      <c r="D34" s="333"/>
    </row>
    <row r="35" spans="1:4">
      <c r="A35" s="293"/>
      <c r="B35" s="286"/>
      <c r="C35" s="148"/>
      <c r="D35" s="333"/>
    </row>
    <row r="36" spans="1:4" s="144" customFormat="1">
      <c r="A36" s="282" t="s">
        <v>387</v>
      </c>
      <c r="B36" s="283" t="s">
        <v>403</v>
      </c>
      <c r="C36" s="284"/>
      <c r="D36" s="331"/>
    </row>
    <row r="37" spans="1:4">
      <c r="A37" s="330" t="s">
        <v>430</v>
      </c>
      <c r="B37" s="286" t="s">
        <v>74</v>
      </c>
      <c r="C37" s="127" t="s">
        <v>12</v>
      </c>
      <c r="D37" s="332">
        <f>+'CMR-001'!H48</f>
        <v>10228</v>
      </c>
    </row>
    <row r="38" spans="1:4">
      <c r="A38" s="330" t="s">
        <v>431</v>
      </c>
      <c r="B38" s="89" t="s">
        <v>337</v>
      </c>
      <c r="C38" s="127" t="s">
        <v>11</v>
      </c>
      <c r="D38" s="332">
        <f>+'CMR-002'!H48</f>
        <v>1290784</v>
      </c>
    </row>
    <row r="39" spans="1:4" ht="57.6">
      <c r="A39" s="127" t="s">
        <v>432</v>
      </c>
      <c r="B39" s="286" t="s">
        <v>481</v>
      </c>
      <c r="C39" s="288" t="s">
        <v>12</v>
      </c>
      <c r="D39" s="334"/>
    </row>
    <row r="40" spans="1:4">
      <c r="B40" s="286"/>
      <c r="C40" s="288"/>
      <c r="D40" s="334"/>
    </row>
    <row r="41" spans="1:4">
      <c r="B41" s="286"/>
      <c r="C41" s="288"/>
      <c r="D41" s="334"/>
    </row>
    <row r="42" spans="1:4">
      <c r="A42" s="127" t="s">
        <v>402</v>
      </c>
      <c r="B42" s="283" t="s">
        <v>404</v>
      </c>
      <c r="C42" s="288"/>
      <c r="D42" s="334"/>
    </row>
    <row r="43" spans="1:4" s="144" customFormat="1" ht="43.8" customHeight="1">
      <c r="A43" s="282" t="s">
        <v>433</v>
      </c>
      <c r="B43" s="389" t="s">
        <v>482</v>
      </c>
      <c r="C43" s="390" t="s">
        <v>5</v>
      </c>
      <c r="D43" s="331"/>
    </row>
    <row r="44" spans="1:4">
      <c r="A44" s="127" t="s">
        <v>434</v>
      </c>
      <c r="B44" s="286" t="s">
        <v>341</v>
      </c>
      <c r="C44" s="288" t="s">
        <v>5</v>
      </c>
      <c r="D44" s="335"/>
    </row>
    <row r="45" spans="1:4">
      <c r="A45" s="330" t="s">
        <v>435</v>
      </c>
      <c r="B45" s="286" t="s">
        <v>320</v>
      </c>
      <c r="C45" s="288" t="s">
        <v>293</v>
      </c>
      <c r="D45" s="334">
        <f>+'ELC-003'!H48</f>
        <v>33707</v>
      </c>
    </row>
    <row r="46" spans="1:4">
      <c r="A46" s="330" t="s">
        <v>493</v>
      </c>
      <c r="B46" s="286" t="s">
        <v>492</v>
      </c>
      <c r="C46" s="288" t="s">
        <v>5</v>
      </c>
      <c r="D46" s="334">
        <f>+'ELC-004'!H48</f>
        <v>31330</v>
      </c>
    </row>
    <row r="47" spans="1:4" ht="28.8">
      <c r="A47" s="330" t="s">
        <v>497</v>
      </c>
      <c r="B47" s="286" t="s">
        <v>499</v>
      </c>
      <c r="C47" s="288" t="s">
        <v>5</v>
      </c>
      <c r="D47" s="334">
        <f>+'ELC-005'!H48</f>
        <v>65566</v>
      </c>
    </row>
    <row r="48" spans="1:4">
      <c r="A48" s="330" t="s">
        <v>498</v>
      </c>
      <c r="B48" s="286" t="s">
        <v>500</v>
      </c>
      <c r="C48" s="288" t="s">
        <v>5</v>
      </c>
      <c r="D48" s="334">
        <f>+'ELC-006'!H48</f>
        <v>52672</v>
      </c>
    </row>
    <row r="49" spans="1:4" ht="28.8">
      <c r="A49" s="330" t="s">
        <v>514</v>
      </c>
      <c r="B49" s="286" t="s">
        <v>600</v>
      </c>
      <c r="C49" s="288" t="s">
        <v>293</v>
      </c>
      <c r="D49" s="334">
        <f>+'ELC-007'!H48</f>
        <v>110700</v>
      </c>
    </row>
    <row r="50" spans="1:4">
      <c r="A50" s="330"/>
      <c r="B50" s="286"/>
      <c r="C50" s="288"/>
      <c r="D50" s="334"/>
    </row>
    <row r="51" spans="1:4">
      <c r="A51" s="127" t="s">
        <v>405</v>
      </c>
      <c r="B51" s="283" t="s">
        <v>424</v>
      </c>
      <c r="C51" s="288"/>
      <c r="D51" s="334"/>
    </row>
    <row r="52" spans="1:4">
      <c r="A52" s="330" t="s">
        <v>416</v>
      </c>
      <c r="B52" s="124" t="s">
        <v>406</v>
      </c>
      <c r="C52" s="127" t="s">
        <v>5</v>
      </c>
      <c r="D52" s="335">
        <f>+'HS-001'!H48</f>
        <v>513656</v>
      </c>
    </row>
    <row r="53" spans="1:4">
      <c r="A53" s="330" t="s">
        <v>417</v>
      </c>
      <c r="B53" s="124" t="s">
        <v>412</v>
      </c>
      <c r="C53" s="127" t="s">
        <v>5</v>
      </c>
      <c r="D53" s="334">
        <f>+'HS-002'!H48</f>
        <v>924999</v>
      </c>
    </row>
    <row r="54" spans="1:4" s="144" customFormat="1" ht="28.8">
      <c r="A54" s="330" t="s">
        <v>418</v>
      </c>
      <c r="B54" s="319" t="s">
        <v>407</v>
      </c>
      <c r="C54" s="321" t="s">
        <v>5</v>
      </c>
      <c r="D54" s="334">
        <f>+'HS-003'!H48</f>
        <v>302613</v>
      </c>
    </row>
    <row r="55" spans="1:4">
      <c r="A55" s="330" t="s">
        <v>419</v>
      </c>
      <c r="B55" s="89" t="s">
        <v>408</v>
      </c>
      <c r="C55" s="148" t="s">
        <v>5</v>
      </c>
      <c r="D55" s="334">
        <f>+'HS-004'!H48</f>
        <v>200975</v>
      </c>
    </row>
    <row r="56" spans="1:4">
      <c r="A56" s="330" t="s">
        <v>420</v>
      </c>
      <c r="B56" s="124" t="s">
        <v>409</v>
      </c>
      <c r="C56" s="127" t="s">
        <v>5</v>
      </c>
      <c r="D56" s="334">
        <f>+'HS-005'!H48</f>
        <v>79844</v>
      </c>
    </row>
    <row r="57" spans="1:4">
      <c r="A57" s="330" t="s">
        <v>421</v>
      </c>
      <c r="B57" s="289" t="s">
        <v>443</v>
      </c>
      <c r="C57" s="290" t="s">
        <v>5</v>
      </c>
      <c r="D57" s="334">
        <f>+'HS-006'!H48</f>
        <v>158031</v>
      </c>
    </row>
    <row r="58" spans="1:4" ht="28.8">
      <c r="A58" s="330" t="s">
        <v>423</v>
      </c>
      <c r="B58" s="327" t="s">
        <v>422</v>
      </c>
      <c r="C58" s="323" t="s">
        <v>5</v>
      </c>
      <c r="D58" s="334">
        <f>+'HS-007'!H48</f>
        <v>365833</v>
      </c>
    </row>
    <row r="59" spans="1:4">
      <c r="A59" s="330" t="s">
        <v>425</v>
      </c>
      <c r="B59" s="89" t="s">
        <v>447</v>
      </c>
      <c r="C59" s="323" t="s">
        <v>5</v>
      </c>
      <c r="D59" s="334">
        <f>+'HS-008'!H48</f>
        <v>203975</v>
      </c>
    </row>
    <row r="60" spans="1:4">
      <c r="A60" s="330" t="s">
        <v>440</v>
      </c>
      <c r="B60" s="89" t="s">
        <v>441</v>
      </c>
      <c r="C60" s="323" t="s">
        <v>5</v>
      </c>
      <c r="D60" s="334">
        <f>+'HS-009'!H48</f>
        <v>113344</v>
      </c>
    </row>
    <row r="61" spans="1:4">
      <c r="B61" s="89" t="s">
        <v>444</v>
      </c>
      <c r="C61" s="323" t="s">
        <v>5</v>
      </c>
      <c r="D61" s="337"/>
    </row>
    <row r="62" spans="1:4">
      <c r="B62" s="89"/>
      <c r="C62" s="323"/>
      <c r="D62" s="337"/>
    </row>
    <row r="63" spans="1:4">
      <c r="B63" s="89"/>
      <c r="C63" s="89"/>
      <c r="D63" s="337"/>
    </row>
    <row r="64" spans="1:4">
      <c r="A64" s="127" t="s">
        <v>410</v>
      </c>
      <c r="B64" s="283" t="s">
        <v>449</v>
      </c>
      <c r="C64" s="323"/>
      <c r="D64" s="337"/>
    </row>
    <row r="65" spans="1:4">
      <c r="A65" s="330" t="s">
        <v>436</v>
      </c>
      <c r="B65" s="89" t="s">
        <v>411</v>
      </c>
      <c r="C65" s="148" t="s">
        <v>9</v>
      </c>
      <c r="D65" s="334">
        <f>+'CIE-001'!H48</f>
        <v>58795</v>
      </c>
    </row>
    <row r="66" spans="1:4">
      <c r="A66" s="330" t="s">
        <v>437</v>
      </c>
      <c r="B66" s="322" t="s">
        <v>439</v>
      </c>
      <c r="C66" s="323" t="s">
        <v>293</v>
      </c>
      <c r="D66" s="334">
        <f>+'CIE-002'!H48</f>
        <v>44084</v>
      </c>
    </row>
    <row r="67" spans="1:4">
      <c r="A67" s="330" t="s">
        <v>448</v>
      </c>
      <c r="B67" s="322" t="s">
        <v>477</v>
      </c>
      <c r="C67" s="323" t="s">
        <v>9</v>
      </c>
      <c r="D67" s="334">
        <f>+'CIE-003'!H48</f>
        <v>65795</v>
      </c>
    </row>
    <row r="68" spans="1:4">
      <c r="A68" s="330" t="s">
        <v>507</v>
      </c>
      <c r="B68" s="322" t="s">
        <v>506</v>
      </c>
      <c r="C68" s="323" t="s">
        <v>293</v>
      </c>
      <c r="D68" s="334">
        <f>+'CIE-004'!H48</f>
        <v>33203</v>
      </c>
    </row>
    <row r="69" spans="1:4">
      <c r="A69" s="127" t="s">
        <v>522</v>
      </c>
      <c r="B69" s="322" t="s">
        <v>528</v>
      </c>
      <c r="C69" s="323" t="s">
        <v>9</v>
      </c>
      <c r="D69" s="334">
        <f>+'CIE-005'!H48</f>
        <v>48778</v>
      </c>
    </row>
    <row r="70" spans="1:4">
      <c r="B70" s="322"/>
      <c r="C70" s="323"/>
      <c r="D70" s="334"/>
    </row>
    <row r="71" spans="1:4">
      <c r="A71" s="127" t="s">
        <v>414</v>
      </c>
      <c r="B71" s="283" t="s">
        <v>450</v>
      </c>
      <c r="C71" s="148"/>
      <c r="D71" s="334"/>
    </row>
    <row r="72" spans="1:4">
      <c r="A72" s="127" t="s">
        <v>438</v>
      </c>
      <c r="B72" s="89" t="s">
        <v>484</v>
      </c>
      <c r="C72" s="291" t="s">
        <v>11</v>
      </c>
      <c r="D72" s="334"/>
    </row>
    <row r="73" spans="1:4">
      <c r="B73" s="124" t="s">
        <v>104</v>
      </c>
      <c r="C73" s="127" t="s">
        <v>105</v>
      </c>
      <c r="D73" s="335"/>
    </row>
    <row r="74" spans="1:4">
      <c r="B74" s="289" t="s">
        <v>100</v>
      </c>
      <c r="C74" s="290" t="s">
        <v>11</v>
      </c>
      <c r="D74" s="336">
        <v>120</v>
      </c>
    </row>
    <row r="75" spans="1:4" ht="22.5" customHeight="1">
      <c r="B75" s="124" t="s">
        <v>108</v>
      </c>
      <c r="C75" s="127" t="s">
        <v>84</v>
      </c>
      <c r="D75" s="335"/>
    </row>
    <row r="76" spans="1:4" ht="22.5" customHeight="1">
      <c r="B76" s="89" t="s">
        <v>123</v>
      </c>
      <c r="C76" s="148" t="s">
        <v>84</v>
      </c>
      <c r="D76" s="334"/>
    </row>
    <row r="77" spans="1:4" ht="22.5" customHeight="1">
      <c r="B77" s="124" t="s">
        <v>107</v>
      </c>
      <c r="C77" s="127" t="s">
        <v>84</v>
      </c>
      <c r="D77" s="335"/>
    </row>
    <row r="78" spans="1:4" ht="19.5" customHeight="1">
      <c r="B78" s="89" t="s">
        <v>134</v>
      </c>
      <c r="C78" s="127" t="s">
        <v>84</v>
      </c>
      <c r="D78" s="334"/>
    </row>
    <row r="79" spans="1:4">
      <c r="B79" s="89" t="s">
        <v>112</v>
      </c>
      <c r="C79" s="148" t="s">
        <v>113</v>
      </c>
      <c r="D79" s="334"/>
    </row>
    <row r="80" spans="1:4">
      <c r="B80" s="89" t="s">
        <v>125</v>
      </c>
      <c r="C80" s="148" t="s">
        <v>84</v>
      </c>
      <c r="D80" s="334"/>
    </row>
    <row r="81" spans="2:4">
      <c r="B81" s="89" t="s">
        <v>129</v>
      </c>
      <c r="C81" s="89" t="s">
        <v>9</v>
      </c>
      <c r="D81" s="334"/>
    </row>
    <row r="82" spans="2:4" ht="32.25" customHeight="1">
      <c r="B82" s="89" t="s">
        <v>131</v>
      </c>
      <c r="C82" s="89" t="s">
        <v>132</v>
      </c>
      <c r="D82" s="334">
        <v>193</v>
      </c>
    </row>
    <row r="83" spans="2:4">
      <c r="B83" s="89" t="s">
        <v>135</v>
      </c>
      <c r="C83" s="89" t="s">
        <v>9</v>
      </c>
      <c r="D83" s="334"/>
    </row>
    <row r="84" spans="2:4">
      <c r="B84" s="89" t="s">
        <v>130</v>
      </c>
      <c r="C84" s="89" t="s">
        <v>10</v>
      </c>
      <c r="D84" s="334"/>
    </row>
    <row r="85" spans="2:4">
      <c r="B85" s="89" t="s">
        <v>136</v>
      </c>
      <c r="C85" s="89" t="s">
        <v>84</v>
      </c>
      <c r="D85" s="334"/>
    </row>
    <row r="86" spans="2:4">
      <c r="B86" s="89"/>
      <c r="C86" s="89"/>
      <c r="D86" s="89"/>
    </row>
    <row r="87" spans="2:4">
      <c r="B87" s="89"/>
      <c r="C87" s="89"/>
      <c r="D87" s="89"/>
    </row>
    <row r="88" spans="2:4">
      <c r="B88" s="89"/>
      <c r="C88" s="89"/>
      <c r="D88" s="89"/>
    </row>
    <row r="89" spans="2:4">
      <c r="B89" s="89"/>
      <c r="C89" s="89"/>
      <c r="D89" s="89"/>
    </row>
    <row r="90" spans="2:4">
      <c r="B90" s="89"/>
      <c r="C90" s="89"/>
      <c r="D90" s="89"/>
    </row>
    <row r="91" spans="2:4">
      <c r="B91" s="89"/>
      <c r="C91" s="89"/>
      <c r="D91" s="89"/>
    </row>
    <row r="92" spans="2:4">
      <c r="B92" s="89"/>
      <c r="C92" s="89"/>
      <c r="D92" s="89"/>
    </row>
    <row r="93" spans="2:4">
      <c r="B93" s="89"/>
      <c r="C93" s="89"/>
      <c r="D93" s="89"/>
    </row>
    <row r="94" spans="2:4">
      <c r="B94" s="89"/>
      <c r="C94" s="89"/>
      <c r="D94" s="89"/>
    </row>
    <row r="95" spans="2:4">
      <c r="B95" s="89"/>
      <c r="C95" s="89"/>
      <c r="D95" s="89"/>
    </row>
    <row r="96" spans="2:4">
      <c r="B96" s="89"/>
      <c r="C96" s="89"/>
      <c r="D96" s="89"/>
    </row>
    <row r="97" spans="2:4">
      <c r="B97" s="89"/>
      <c r="C97" s="89"/>
      <c r="D97" s="89"/>
    </row>
    <row r="98" spans="2:4">
      <c r="B98" s="89"/>
      <c r="C98" s="89"/>
      <c r="D98" s="89"/>
    </row>
    <row r="99" spans="2:4" ht="33" customHeight="1">
      <c r="B99" s="89"/>
      <c r="C99" s="89"/>
      <c r="D99" s="89"/>
    </row>
    <row r="100" spans="2:4">
      <c r="B100" s="89"/>
      <c r="C100" s="89"/>
      <c r="D100" s="89"/>
    </row>
    <row r="101" spans="2:4">
      <c r="B101" s="89"/>
      <c r="C101" s="89"/>
      <c r="D101" s="89"/>
    </row>
    <row r="102" spans="2:4">
      <c r="B102" s="89"/>
      <c r="C102" s="89"/>
      <c r="D102" s="89"/>
    </row>
    <row r="103" spans="2:4">
      <c r="B103" s="89"/>
      <c r="C103" s="89"/>
      <c r="D103" s="89"/>
    </row>
    <row r="104" spans="2:4">
      <c r="B104" s="89"/>
      <c r="C104" s="89"/>
      <c r="D104" s="89"/>
    </row>
    <row r="105" spans="2:4" ht="24" customHeight="1">
      <c r="B105" s="89"/>
      <c r="C105" s="89"/>
      <c r="D105" s="89"/>
    </row>
    <row r="106" spans="2:4">
      <c r="B106" s="89"/>
      <c r="C106" s="89"/>
      <c r="D106" s="89"/>
    </row>
    <row r="107" spans="2:4">
      <c r="B107" s="89"/>
      <c r="C107" s="89"/>
      <c r="D107" s="89"/>
    </row>
    <row r="108" spans="2:4">
      <c r="B108" s="89"/>
      <c r="C108" s="89"/>
      <c r="D108" s="89"/>
    </row>
    <row r="109" spans="2:4">
      <c r="B109" s="89"/>
      <c r="C109" s="89"/>
      <c r="D109" s="89"/>
    </row>
    <row r="110" spans="2:4">
      <c r="B110" s="89"/>
      <c r="C110" s="89"/>
      <c r="D110" s="89"/>
    </row>
    <row r="111" spans="2:4">
      <c r="B111" s="89"/>
      <c r="C111" s="89"/>
      <c r="D111" s="89"/>
    </row>
  </sheetData>
  <phoneticPr fontId="8" type="noConversion"/>
  <hyperlinks>
    <hyperlink ref="A3" location="'P-0001'!A1" display="P-0001" xr:uid="{D270111A-C4C8-4D0F-A46C-04E44493DA53}"/>
    <hyperlink ref="A4:A8" location="'P-0001'!A1" display="P-0001" xr:uid="{392950A8-9ACC-4351-B5C4-2D24E9353A08}"/>
    <hyperlink ref="A4" location="'P-0002'!A1" display="P-0002" xr:uid="{A20651BA-2600-4818-959A-58266751F270}"/>
    <hyperlink ref="A5" location="'P-0003'!A1" display="P-0003" xr:uid="{1EF7E35C-B981-4B7E-9885-9E1BB0877C36}"/>
    <hyperlink ref="A6" location="'P-0004'!A1" display="P-0004" xr:uid="{650EEF44-9F1C-4BF2-9E19-273C006E0973}"/>
    <hyperlink ref="A7" location="'P-0005'!A1" display="P-0005" xr:uid="{BC54D49D-D650-4017-802A-9B9DE4108477}"/>
    <hyperlink ref="A8" location="'P-0006'!A1" display="P-0006" xr:uid="{1DF2871F-D8EF-4310-9704-2BD4754EDFEA}"/>
    <hyperlink ref="A19" location="'PTA-001'!A1" display="PTA-001" xr:uid="{70EF5542-1A19-45B6-9A2B-45C753FABA57}"/>
    <hyperlink ref="A20" location="'PTA-002'!A1" display="PTA-002" xr:uid="{A56A543C-90AD-494B-8AB9-00620B9D4457}"/>
    <hyperlink ref="A21" location="'PTA-003'!A1" display="PTA-003" xr:uid="{9D8D2C57-85D2-497F-9751-6250D6863A06}"/>
    <hyperlink ref="A22" location="'PTA-004'!A1" display="PTA-004" xr:uid="{CA07D08F-8DCB-442C-A957-81B35C1D7FC7}"/>
    <hyperlink ref="A23" location="'PTA-005'!A1" display="PTA-005" xr:uid="{990702E7-E616-4FE1-B30E-2840A9704A34}"/>
    <hyperlink ref="A24" location="'PTA-006'!A1" display="PTA-006" xr:uid="{36987081-6470-463D-A78E-AAA83181979D}"/>
    <hyperlink ref="A9" location="'P-0001'!A1" display="P-0001" xr:uid="{3B09153B-631E-4878-8A27-49C3782FC3D2}"/>
    <hyperlink ref="A37" location="'CMR-001'!A1" display="CMR-001" xr:uid="{2AF239D2-E79A-4215-A598-FDA1E56C0AC5}"/>
    <hyperlink ref="A38" location="'CMR-002'!A1" display="CMR-002" xr:uid="{26920FF9-F51F-4DA4-888D-87998A275668}"/>
    <hyperlink ref="A45" location="'ELC-003'!A1" display="ELC-003" xr:uid="{4D68B427-446E-47C3-8AC8-7113D0E63726}"/>
    <hyperlink ref="A52" location="'HS-001'!A1" display="HS-001" xr:uid="{84FB5D3A-10C8-478C-8903-ABF4D2139A68}"/>
    <hyperlink ref="A53" location="'HS-002'!A1" display="HS-002" xr:uid="{36399037-1671-4557-BCF2-B50F0CC3907A}"/>
    <hyperlink ref="A54" location="'HS-003'!A1" display="HS-003" xr:uid="{6A9F08EC-29EB-46F1-9B66-94D079F579C5}"/>
    <hyperlink ref="A55" location="'HS-004'!A1" display="HS-004" xr:uid="{56CCF639-05A1-4EEC-9676-05AB5984B974}"/>
    <hyperlink ref="A56" location="'HS-005'!A1" display="HS-005" xr:uid="{3453C461-4F5F-4A47-BE2B-23DC961873A1}"/>
    <hyperlink ref="A57" location="'HS-006'!A1" display="HS-006" xr:uid="{7C94CB60-EE3E-4CD1-8ED8-4AF2F15AC96D}"/>
    <hyperlink ref="A58" location="'HS-007'!A1" display="HS-007" xr:uid="{F5010450-BB26-47D8-B5C9-30953536D5AC}"/>
    <hyperlink ref="A59" location="'HS-008'!A1" display="HS-008" xr:uid="{1F4F09AF-223E-48BF-BFCB-6CE69FE744D6}"/>
    <hyperlink ref="A60" location="'HS-009'!A1" display="HS-009" xr:uid="{ECE091C9-FF49-40DF-B3B2-C0EA9EB2FFB6}"/>
    <hyperlink ref="A65" location="'CIE-001'!A1" display="CIE-001" xr:uid="{37D759F8-4C5F-46C6-BD7E-CFC950B518E4}"/>
    <hyperlink ref="A66" location="'CIE-002'!A1" display="CIE-002" xr:uid="{A34071C8-EF1D-4B38-9295-B2359EA1AA73}"/>
    <hyperlink ref="A67" location="'CIE-003'!A1" display="CIE-003" xr:uid="{D21F849F-C516-4B86-8DB9-E4D02B3F4BF4}"/>
    <hyperlink ref="A46" location="'ELC-004'!A1" display="ELC-004" xr:uid="{C27939FE-CA1B-4D48-99C3-2BD0F08A44D0}"/>
    <hyperlink ref="A47" location="'ELC-005'!A1" display="ELC-005" xr:uid="{01185274-B054-4464-8FAD-ACA7FA28EA6B}"/>
    <hyperlink ref="A48" location="'ELC-006'!A1" display="ELC-006" xr:uid="{286B6638-3690-4A90-BBC3-6B60F621FC06}"/>
    <hyperlink ref="A68" location="'CIE-004'!A1" display="CIE-004" xr:uid="{6B62D21D-6344-4DD9-B7D0-330AEB8FE9AE}"/>
    <hyperlink ref="A49" location="'ELC-007'!A1" display="ELC-007" xr:uid="{8177B7F9-24DC-4356-AB75-E3E8B21614EB}"/>
    <hyperlink ref="A10" location="'P-0008'!A1" display="P-0008" xr:uid="{7B4A177D-EC21-47B1-AC69-94FB34C752F4}"/>
    <hyperlink ref="A11" location="'P-0009'!A1" display="P-0009" xr:uid="{2FF9AB49-39A0-4F94-AE23-DE4C246E5931}"/>
    <hyperlink ref="A12" location="'P-0010'!A1" display="P-0010" xr:uid="{F95CFBE3-937E-45C0-AA34-5C7236434674}"/>
    <hyperlink ref="A13" location="'P-0011'!A1" display="P-0011" xr:uid="{8C80484C-345B-4545-9606-87A383089292}"/>
    <hyperlink ref="A26" location="'PTA-008'!A1" display="PTA-008" xr:uid="{8462B973-40AB-4BD1-BD0F-DB004158A213}"/>
    <hyperlink ref="A27" location="'PTA-009'!A1" display="PTA-009" xr:uid="{2791BB52-ABFA-4017-9C34-0AE1B2957DEB}"/>
    <hyperlink ref="A28" location="'PTA-010'!A1" display="PTA-010" xr:uid="{33D3AB5D-6E80-4C75-BDED-0D4EC6319800}"/>
    <hyperlink ref="A29" location="'PTA-011'!A1" display="PTA-011" xr:uid="{D7DA3AA2-684F-4146-AB2F-C02D8CCA6DE7}"/>
    <hyperlink ref="A31" location="'PTA-013'!A1" display="PTA-013" xr:uid="{35996877-C667-4D22-9E05-410F5FB84714}"/>
    <hyperlink ref="A30" location="'PTA-012'!A1" display="PTA-012" xr:uid="{C982B17D-DB89-4BD7-96B4-B55D9E9409ED}"/>
    <hyperlink ref="A32" location="'PTA-014'!A1" display="PTA-014" xr:uid="{3F83B562-8726-44EA-BBB2-BE46F002ED91}"/>
    <hyperlink ref="A33" location="'PTA-015'!A1" display="PTA-015" xr:uid="{7FEA326E-3507-41F1-BBB0-0B84AC8BF404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C0886-9AE8-4E83-8D96-62AB86DB7EA9}">
  <dimension ref="A1:I101"/>
  <sheetViews>
    <sheetView topLeftCell="B1" workbookViewId="0">
      <selection activeCell="D45" sqref="D45"/>
    </sheetView>
  </sheetViews>
  <sheetFormatPr baseColWidth="10" defaultRowHeight="14.4"/>
  <cols>
    <col min="1" max="1" width="11.5546875" style="127"/>
    <col min="2" max="2" width="54" customWidth="1"/>
    <col min="3" max="3" width="11.88671875" style="127" customWidth="1"/>
    <col min="5" max="5" width="18.77734375" style="140" customWidth="1"/>
    <col min="6" max="9" width="18.77734375" customWidth="1"/>
  </cols>
  <sheetData>
    <row r="1" spans="1:9" ht="17.25" customHeight="1">
      <c r="A1" s="346" t="s">
        <v>381</v>
      </c>
      <c r="B1" s="345" t="s">
        <v>371</v>
      </c>
      <c r="C1" s="345" t="s">
        <v>5</v>
      </c>
      <c r="D1" s="155" t="s">
        <v>311</v>
      </c>
      <c r="E1" s="346" t="s">
        <v>454</v>
      </c>
      <c r="F1" s="346" t="s">
        <v>455</v>
      </c>
      <c r="G1" s="346" t="s">
        <v>456</v>
      </c>
      <c r="H1" s="346" t="s">
        <v>457</v>
      </c>
      <c r="I1" s="347" t="s">
        <v>458</v>
      </c>
    </row>
    <row r="2" spans="1:9" ht="17.25" customHeight="1">
      <c r="A2" s="354" t="str">
        <f>+LIST!A1</f>
        <v>ID</v>
      </c>
      <c r="B2" s="90"/>
      <c r="C2" s="147"/>
      <c r="D2" s="91"/>
      <c r="E2" s="136" t="s">
        <v>298</v>
      </c>
      <c r="F2" s="136" t="s">
        <v>299</v>
      </c>
      <c r="G2" s="136" t="s">
        <v>302</v>
      </c>
      <c r="H2" s="136" t="s">
        <v>303</v>
      </c>
      <c r="I2" s="341" t="s">
        <v>304</v>
      </c>
    </row>
    <row r="3" spans="1:9">
      <c r="A3" s="356" t="str">
        <f>+LIST!A2</f>
        <v>P</v>
      </c>
      <c r="B3" s="364" t="str">
        <f>+LIST!B2</f>
        <v>PRELIMINARES (P)</v>
      </c>
      <c r="C3" s="358"/>
      <c r="D3" s="359"/>
      <c r="E3" s="360"/>
      <c r="F3" s="361"/>
      <c r="G3" s="361"/>
      <c r="H3" s="362"/>
      <c r="I3" s="363"/>
    </row>
    <row r="4" spans="1:9">
      <c r="A4" s="127" t="str">
        <f>+LIST!A3</f>
        <v>P-0001</v>
      </c>
      <c r="B4" s="99" t="str">
        <f>+_xlfn.XLOOKUP($A4,LIST[ID],LIST[DESCRIPCIÓN])</f>
        <v>DEMOLICIÓN PLACA e= 0.10m</v>
      </c>
      <c r="C4" s="4" t="str">
        <f>+_xlfn.XLOOKUP($A4,LIST[ID],LIST[UNIDAD])</f>
        <v>M2</v>
      </c>
      <c r="D4" s="4" t="s">
        <v>297</v>
      </c>
      <c r="E4" s="137">
        <v>0.7</v>
      </c>
      <c r="F4" s="141">
        <v>0.5</v>
      </c>
      <c r="G4" s="137">
        <v>0.38</v>
      </c>
      <c r="H4" s="137">
        <v>0.31</v>
      </c>
      <c r="I4" s="342"/>
    </row>
    <row r="5" spans="1:9" ht="29.4" customHeight="1">
      <c r="A5" s="127" t="str">
        <f>+LIST!A4</f>
        <v>P-0002</v>
      </c>
      <c r="B5" s="99" t="str">
        <f>+_xlfn.XLOOKUP($A5,LIST[ID],LIST[DESCRIPCIÓN])</f>
        <v>DEMOLICIÓN MURO, INCLUYE RETIRO DE ESCOMBROS A 5 KM</v>
      </c>
      <c r="C5" s="4" t="str">
        <f>+_xlfn.XLOOKUP($A5,LIST[ID],LIST[UNIDAD])</f>
        <v>M2</v>
      </c>
      <c r="D5" s="93" t="s">
        <v>297</v>
      </c>
      <c r="E5" s="137"/>
      <c r="F5" s="141">
        <v>0.5</v>
      </c>
      <c r="G5" s="88"/>
      <c r="H5" s="137"/>
      <c r="I5" s="153"/>
    </row>
    <row r="6" spans="1:9" ht="28.8">
      <c r="A6" s="127" t="str">
        <f>+LIST!A5</f>
        <v>P-0003</v>
      </c>
      <c r="B6" s="355" t="str">
        <f>+_xlfn.XLOOKUP($A6,LIST[ID],LIST[DESCRIPCIÓN])</f>
        <v>DESMONTE DE MOTOBOMBAS, TABLEROS, Y ELEMENTOS ELECTRONICOS.</v>
      </c>
      <c r="C6" s="4" t="str">
        <f>+_xlfn.XLOOKUP($A6,LIST[ID],LIST[UNIDAD])</f>
        <v>GLOBAL</v>
      </c>
      <c r="D6" s="4" t="s">
        <v>297</v>
      </c>
      <c r="E6" s="137"/>
      <c r="F6" s="137"/>
      <c r="G6" s="137">
        <v>10</v>
      </c>
      <c r="H6" s="137"/>
      <c r="I6" s="342"/>
    </row>
    <row r="7" spans="1:9">
      <c r="A7" s="127" t="str">
        <f>+LIST!A6</f>
        <v>P-0004</v>
      </c>
      <c r="B7" s="99" t="str">
        <f>+_xlfn.XLOOKUP($A7,LIST[ID],LIST[DESCRIPCIÓN])</f>
        <v>RETIRO DE ADOQUIN DEFECTUOSO Y EN MAL ESTADO</v>
      </c>
      <c r="C7" s="4" t="str">
        <f>+_xlfn.XLOOKUP($A7,LIST[ID],LIST[UNIDAD])</f>
        <v>M2</v>
      </c>
      <c r="D7" s="93" t="s">
        <v>297</v>
      </c>
      <c r="E7" s="137"/>
      <c r="F7" s="137">
        <v>0.3</v>
      </c>
      <c r="G7" s="137">
        <v>0.23</v>
      </c>
      <c r="H7" s="137"/>
      <c r="I7" s="343"/>
    </row>
    <row r="8" spans="1:9">
      <c r="A8" s="127" t="str">
        <f>+LIST!A7</f>
        <v>P-0005</v>
      </c>
      <c r="B8" s="99" t="str">
        <f>+_xlfn.XLOOKUP($A8,LIST[ID],LIST[DESCRIPCIÓN])</f>
        <v>EXCAVACIÓN MANUAL EN MATERIAL COMÚN 0-2 MTS</v>
      </c>
      <c r="C8" s="4" t="str">
        <f>+_xlfn.XLOOKUP($A8,LIST[ID],LIST[UNIDAD])</f>
        <v>M3</v>
      </c>
      <c r="D8" s="100" t="s">
        <v>297</v>
      </c>
      <c r="E8" s="137"/>
      <c r="F8" s="137">
        <v>0.7</v>
      </c>
      <c r="G8" s="138">
        <v>0.56999999999999995</v>
      </c>
      <c r="H8" s="137">
        <v>0.48</v>
      </c>
      <c r="I8" s="344"/>
    </row>
    <row r="9" spans="1:9">
      <c r="A9" s="127" t="str">
        <f>+LIST!A8</f>
        <v>P-0006</v>
      </c>
      <c r="B9" s="99" t="str">
        <f>+_xlfn.XLOOKUP($A9,LIST[ID],LIST[DESCRIPCIÓN])</f>
        <v xml:space="preserve">RELLENO EN ARENA </v>
      </c>
      <c r="C9" s="4" t="str">
        <f>+_xlfn.XLOOKUP($A9,LIST[ID],LIST[UNIDAD])</f>
        <v>M3</v>
      </c>
      <c r="D9" s="100" t="s">
        <v>297</v>
      </c>
      <c r="E9" s="137"/>
      <c r="F9" s="137">
        <v>0.3</v>
      </c>
      <c r="G9" s="138">
        <v>0.25</v>
      </c>
      <c r="H9" s="137">
        <v>0.23</v>
      </c>
      <c r="I9" s="344"/>
    </row>
    <row r="10" spans="1:9">
      <c r="A10" s="127" t="str">
        <f>+LIST!A9</f>
        <v>P-0007</v>
      </c>
      <c r="B10" s="99" t="str">
        <f>+_xlfn.XLOOKUP($A10,LIST[ID],LIST[DESCRIPCIÓN])</f>
        <v>DESMONTE DE APARATOS SANITARIOS</v>
      </c>
      <c r="C10" s="4" t="str">
        <f>+_xlfn.XLOOKUP($A10,LIST[ID],LIST[UNIDAD])</f>
        <v>UND</v>
      </c>
      <c r="D10" s="100" t="s">
        <v>297</v>
      </c>
      <c r="E10" s="137">
        <v>2.1</v>
      </c>
      <c r="F10" s="137">
        <v>1.6</v>
      </c>
      <c r="G10" s="138">
        <v>1.3</v>
      </c>
      <c r="H10" s="137"/>
      <c r="I10" s="344"/>
    </row>
    <row r="11" spans="1:9">
      <c r="A11" s="127" t="str">
        <f>+LIST!A10</f>
        <v>P-0008</v>
      </c>
      <c r="B11" s="99" t="str">
        <f>+_xlfn.XLOOKUP($A11,LIST[ID],LIST[DESCRIPCIÓN])</f>
        <v>LOCALIZACIÓN Y REPLANTEO (AREA)</v>
      </c>
      <c r="C11" s="4" t="str">
        <f>+_xlfn.XLOOKUP($A11,LIST[ID],LIST[UNIDAD])</f>
        <v>M2</v>
      </c>
      <c r="D11" s="100" t="s">
        <v>297</v>
      </c>
      <c r="E11" s="350">
        <v>0.05</v>
      </c>
      <c r="F11" s="372"/>
      <c r="G11" s="382"/>
      <c r="H11" s="371">
        <f t="shared" ref="H11:H12" si="0">+AVERAGE(E11:G11)</f>
        <v>0.05</v>
      </c>
      <c r="I11" s="405"/>
    </row>
    <row r="12" spans="1:9">
      <c r="A12" s="127" t="str">
        <f>+LIST!A11</f>
        <v>P-0009</v>
      </c>
      <c r="B12" s="99" t="str">
        <f>+_xlfn.XLOOKUP($A12,LIST[ID],LIST[DESCRIPCIÓN])</f>
        <v>DEMOLICIÓN DE PLACA CONCRETO e=0.15m INCLUYE TRANSPORTE</v>
      </c>
      <c r="C12" s="4" t="str">
        <f>+_xlfn.XLOOKUP($A12,LIST[ID],LIST[UNIDAD])</f>
        <v>M2</v>
      </c>
      <c r="D12" s="100" t="s">
        <v>297</v>
      </c>
      <c r="E12" s="350">
        <v>0.9</v>
      </c>
      <c r="F12" s="372">
        <v>0.65</v>
      </c>
      <c r="G12" s="382"/>
      <c r="H12" s="371">
        <f t="shared" si="0"/>
        <v>0.77500000000000002</v>
      </c>
      <c r="I12" s="405"/>
    </row>
    <row r="13" spans="1:9">
      <c r="A13" s="127" t="str">
        <f>+LIST!A12</f>
        <v>P-0010</v>
      </c>
      <c r="B13" s="99" t="str">
        <f>+_xlfn.XLOOKUP($A13,LIST[ID],LIST[DESCRIPCIÓN])</f>
        <v>DEMOLICIÓN DE MURO EN CONCRETO REFORZADO INCLUYE TRANSPORTE</v>
      </c>
      <c r="C13" s="4" t="str">
        <f>+_xlfn.XLOOKUP($A13,LIST[ID],LIST[UNIDAD])</f>
        <v>M2</v>
      </c>
      <c r="D13" s="100" t="s">
        <v>297</v>
      </c>
      <c r="E13" s="350">
        <v>1.2</v>
      </c>
      <c r="F13" s="372">
        <v>1.1000000000000001</v>
      </c>
      <c r="G13" s="382"/>
      <c r="H13" s="371"/>
      <c r="I13" s="405"/>
    </row>
    <row r="14" spans="1:9">
      <c r="A14" s="127" t="str">
        <f>+LIST!A13</f>
        <v>P-0011</v>
      </c>
      <c r="B14" s="99" t="str">
        <f>+_xlfn.XLOOKUP($A14,LIST[ID],LIST[DESCRIPCIÓN])</f>
        <v>EXCAVACIÓN MECANICA EN MATERIAL COMÚN</v>
      </c>
      <c r="C14" s="4" t="str">
        <f>+_xlfn.XLOOKUP($A14,LIST[ID],LIST[UNIDAD])</f>
        <v>M3</v>
      </c>
      <c r="D14" s="100" t="s">
        <v>297</v>
      </c>
      <c r="E14" s="350">
        <v>0.12</v>
      </c>
      <c r="F14" s="372">
        <v>0.1</v>
      </c>
      <c r="G14" s="382"/>
      <c r="H14" s="371">
        <f t="shared" ref="H14" si="1">+AVERAGE(E14:G14)</f>
        <v>0.11</v>
      </c>
      <c r="I14" s="405"/>
    </row>
    <row r="15" spans="1:9">
      <c r="A15" s="127" t="str">
        <f>+LIST!A14</f>
        <v>P-0012</v>
      </c>
      <c r="B15" s="99" t="str">
        <f>+_xlfn.XLOOKUP($A15,LIST[ID],LIST[DESCRIPCIÓN])</f>
        <v>RELLENO EN RECEBO COMPACTADO</v>
      </c>
      <c r="C15" s="4" t="str">
        <f>+_xlfn.XLOOKUP($A15,LIST[ID],LIST[UNIDAD])</f>
        <v>M3</v>
      </c>
      <c r="D15" s="100" t="s">
        <v>297</v>
      </c>
      <c r="E15" s="350"/>
      <c r="F15" s="372">
        <v>0.2</v>
      </c>
      <c r="G15" s="382"/>
      <c r="H15" s="371"/>
      <c r="I15" s="405"/>
    </row>
    <row r="16" spans="1:9">
      <c r="A16" s="127" t="str">
        <f>+LIST!A15</f>
        <v>P-0013</v>
      </c>
      <c r="B16" s="99" t="str">
        <f>+_xlfn.XLOOKUP($A16,LIST[ID],LIST[DESCRIPCIÓN])</f>
        <v>DESCAPOTE MANUAL DE TERRENO E=0,15 CM, INCLUYE RETIRO</v>
      </c>
      <c r="C16" s="4" t="str">
        <f>+_xlfn.XLOOKUP($A16,LIST[ID],LIST[UNIDAD])</f>
        <v>M2</v>
      </c>
      <c r="D16" s="100" t="s">
        <v>297</v>
      </c>
      <c r="E16" s="350">
        <v>0.26</v>
      </c>
      <c r="F16" s="372"/>
      <c r="G16" s="382"/>
      <c r="H16" s="371"/>
      <c r="I16" s="405"/>
    </row>
    <row r="17" spans="1:9">
      <c r="A17" s="127">
        <f>+LIST!A16</f>
        <v>0</v>
      </c>
      <c r="B17" s="340"/>
      <c r="C17" s="349"/>
      <c r="D17" s="100"/>
      <c r="E17" s="350"/>
      <c r="F17" s="94"/>
      <c r="G17" s="138"/>
      <c r="H17" s="351"/>
      <c r="I17" s="344"/>
    </row>
    <row r="18" spans="1:9">
      <c r="A18" s="127">
        <f>+LIST!A17</f>
        <v>0</v>
      </c>
      <c r="B18" s="340"/>
      <c r="C18" s="349"/>
      <c r="D18" s="100"/>
      <c r="E18" s="350"/>
      <c r="F18" s="94"/>
      <c r="G18" s="138"/>
      <c r="H18" s="351"/>
      <c r="I18" s="344"/>
    </row>
    <row r="19" spans="1:9">
      <c r="A19" s="127" t="str">
        <f>+LIST!A18</f>
        <v>PTA</v>
      </c>
      <c r="B19" s="357" t="str">
        <f>+LIST!B18</f>
        <v>PISOS CERAMICOS, TERMINADOS Y ACABADOS (PTA)</v>
      </c>
      <c r="C19" s="358"/>
      <c r="D19" s="359"/>
      <c r="E19" s="360"/>
      <c r="F19" s="361"/>
      <c r="G19" s="361"/>
      <c r="H19" s="362"/>
      <c r="I19" s="363"/>
    </row>
    <row r="20" spans="1:9" ht="36" customHeight="1">
      <c r="A20" s="127" t="str">
        <f>+LIST!A19</f>
        <v>PTA-001</v>
      </c>
      <c r="B20" s="355" t="str">
        <f>+_xlfn.XLOOKUP($A20,LIST[ID],LIST[DESCRIPCIÓN])</f>
        <v>ADOQUIN RECTANGULAR ADOP-A O SIMILAR COLOR GRIS (20 X10X 8)</v>
      </c>
      <c r="C20" s="328" t="str">
        <f>+_xlfn.XLOOKUP($A20,LIST[ID],LIST[UNIDAD])</f>
        <v>M2</v>
      </c>
      <c r="D20" s="100" t="s">
        <v>297</v>
      </c>
      <c r="E20" s="137"/>
      <c r="F20" s="137">
        <v>1</v>
      </c>
      <c r="G20" s="88"/>
      <c r="H20" s="95"/>
      <c r="I20" s="153"/>
    </row>
    <row r="21" spans="1:9" ht="30.6" customHeight="1">
      <c r="A21" s="127" t="str">
        <f>+LIST!A20</f>
        <v>PTA-002</v>
      </c>
      <c r="B21" s="355" t="str">
        <f>+_xlfn.XLOOKUP($A21,LIST[ID],LIST[DESCRIPCIÓN])</f>
        <v>ADOQUIN INDUPISO PIZARRA O SIMILAR COLOR ARENA (20X20X8)</v>
      </c>
      <c r="C21" s="328" t="str">
        <f>+_xlfn.XLOOKUP($A21,LIST[ID],LIST[UNIDAD])</f>
        <v>M2</v>
      </c>
      <c r="D21" s="100" t="s">
        <v>297</v>
      </c>
      <c r="E21" s="137"/>
      <c r="F21" s="137">
        <v>1</v>
      </c>
      <c r="G21" s="88"/>
      <c r="H21" s="95"/>
      <c r="I21" s="153"/>
    </row>
    <row r="22" spans="1:9" ht="28.8">
      <c r="A22" s="127" t="str">
        <f>+LIST!A21</f>
        <v>PTA-003</v>
      </c>
      <c r="B22" s="355" t="str">
        <f>+_xlfn.XLOOKUP($A22,LIST[ID],LIST[DESCRIPCIÓN])</f>
        <v>PINTURA DE SILLAS REDONDAS DIAMETRO 50CM H=60CM TIPO 1 EXTERIOR COLOR BLANCO (INCLUYE RESANE)</v>
      </c>
      <c r="C22" s="328" t="str">
        <f>+_xlfn.XLOOKUP($A22,LIST[ID],LIST[UNIDAD])</f>
        <v>UND</v>
      </c>
      <c r="D22" s="100" t="s">
        <v>297</v>
      </c>
      <c r="E22" s="137"/>
      <c r="F22" s="137">
        <v>1.2</v>
      </c>
      <c r="G22" s="88"/>
      <c r="H22" s="95"/>
      <c r="I22" s="153"/>
    </row>
    <row r="23" spans="1:9" ht="28.8">
      <c r="A23" s="127" t="str">
        <f>+LIST!A22</f>
        <v>PTA-004</v>
      </c>
      <c r="B23" s="355" t="str">
        <f>+_xlfn.XLOOKUP($A23,LIST[ID],LIST[DESCRIPCIÓN])</f>
        <v>PINTURA DE MATERA RECTANGULAR 40X60X30 TIPO 1 EXTERIOR COLOR BLANCO (INCLUYE RESANE)</v>
      </c>
      <c r="C23" s="328" t="str">
        <f>+_xlfn.XLOOKUP($A23,LIST[ID],LIST[UNIDAD])</f>
        <v>UND</v>
      </c>
      <c r="D23" s="100" t="s">
        <v>297</v>
      </c>
      <c r="E23" s="137"/>
      <c r="F23" s="137">
        <v>1.2</v>
      </c>
      <c r="G23" s="88"/>
      <c r="H23" s="95"/>
      <c r="I23" s="153"/>
    </row>
    <row r="24" spans="1:9" ht="28.8">
      <c r="A24" s="127" t="str">
        <f>+LIST!A23</f>
        <v>PTA-005</v>
      </c>
      <c r="B24" s="355" t="str">
        <f>+_xlfn.XLOOKUP($A24,LIST[ID],LIST[DESCRIPCIÓN])</f>
        <v>MURO EN BLOQUE ABUJARDADO CON DOVELAS 14X19X39 PARA ALCORQUE DE ARBOL</v>
      </c>
      <c r="C24" s="328" t="str">
        <f>+_xlfn.XLOOKUP($A24,LIST[ID],LIST[UNIDAD])</f>
        <v>M2</v>
      </c>
      <c r="D24" s="4" t="s">
        <v>297</v>
      </c>
      <c r="E24" s="137">
        <v>1.1000000000000001</v>
      </c>
      <c r="F24" s="137">
        <v>1</v>
      </c>
      <c r="G24" s="88"/>
      <c r="H24" s="95"/>
      <c r="I24" s="153"/>
    </row>
    <row r="25" spans="1:9">
      <c r="A25" s="127" t="str">
        <f>+LIST!A24</f>
        <v>PTA-006</v>
      </c>
      <c r="B25" s="355" t="str">
        <f>+_xlfn.XLOOKUP($A25,LIST[ID],LIST[DESCRIPCIÓN])</f>
        <v>ALFAGIA PREFABRICADA DE ANCHO 25CMX100CM</v>
      </c>
      <c r="C25" s="328" t="str">
        <f>+_xlfn.XLOOKUP($A25,LIST[ID],LIST[UNIDAD])</f>
        <v>M</v>
      </c>
      <c r="D25" s="4" t="s">
        <v>297</v>
      </c>
      <c r="E25" s="137">
        <v>0.7</v>
      </c>
      <c r="F25" s="137">
        <v>0.6</v>
      </c>
      <c r="G25" s="138"/>
      <c r="H25" s="137">
        <f t="shared" ref="H25" si="2">+AVERAGE(E25:G25)</f>
        <v>0.64999999999999991</v>
      </c>
      <c r="I25" s="344"/>
    </row>
    <row r="26" spans="1:9">
      <c r="A26" s="127" t="str">
        <f>+LIST!A25</f>
        <v>PTA-007</v>
      </c>
      <c r="B26" s="355" t="str">
        <f>+_xlfn.XLOOKUP($A26,LIST[ID],LIST[DESCRIPCIÓN])</f>
        <v>CIELO RASO PVC 9 MM INCLUYE ESTRUCTURA</v>
      </c>
      <c r="C26" s="328" t="str">
        <f>+_xlfn.XLOOKUP($A26,LIST[ID],LIST[UNIDAD])</f>
        <v>M2</v>
      </c>
      <c r="D26" s="4" t="s">
        <v>297</v>
      </c>
      <c r="E26" s="350">
        <v>0.85</v>
      </c>
      <c r="F26" s="94"/>
      <c r="G26" s="138"/>
      <c r="H26" s="351"/>
      <c r="I26" s="344"/>
    </row>
    <row r="27" spans="1:9">
      <c r="A27" s="127" t="str">
        <f>+LIST!A26</f>
        <v>PTA-008</v>
      </c>
      <c r="B27" s="99" t="str">
        <f>+_xlfn.XLOOKUP($A27,LIST[ID],LIST[DESCRIPCIÓN])</f>
        <v xml:space="preserve">ENCHAPE EN GRES ROJO </v>
      </c>
      <c r="C27" s="4" t="str">
        <f>+_xlfn.XLOOKUP($A27,LIST[ID],LIST[UNIDAD])</f>
        <v>M2</v>
      </c>
      <c r="D27" s="4" t="s">
        <v>297</v>
      </c>
      <c r="E27" s="350">
        <v>1</v>
      </c>
      <c r="F27" s="94"/>
      <c r="G27" s="138"/>
      <c r="H27" s="351"/>
      <c r="I27" s="344"/>
    </row>
    <row r="28" spans="1:9">
      <c r="A28" s="127" t="str">
        <f>+LIST!A27</f>
        <v>PTA-009</v>
      </c>
      <c r="B28" s="99" t="str">
        <f>+_xlfn.XLOOKUP($A28,LIST[ID],LIST[DESCRIPCIÓN])</f>
        <v>PINTURA TIPO 1 INTERIOR, DOS MANOS</v>
      </c>
      <c r="C28" s="4" t="str">
        <f>+_xlfn.XLOOKUP($A28,LIST[ID],LIST[UNIDAD])</f>
        <v>M2</v>
      </c>
      <c r="D28" s="4" t="s">
        <v>297</v>
      </c>
      <c r="E28" s="350">
        <v>0.25</v>
      </c>
      <c r="F28" s="94"/>
      <c r="G28" s="138"/>
      <c r="H28" s="351"/>
      <c r="I28" s="344"/>
    </row>
    <row r="29" spans="1:9">
      <c r="A29" s="127" t="str">
        <f>+LIST!A28</f>
        <v>PTA-010</v>
      </c>
      <c r="B29" s="99" t="str">
        <f>+_xlfn.XLOOKUP($A29,LIST[ID],LIST[DESCRIPCIÓN])</f>
        <v>RESANE EN ESTUCO ACRILICO 100%</v>
      </c>
      <c r="C29" s="4" t="str">
        <f>+_xlfn.XLOOKUP($A29,LIST[ID],LIST[UNIDAD])</f>
        <v>M2</v>
      </c>
      <c r="D29" s="100" t="s">
        <v>297</v>
      </c>
      <c r="E29" s="350">
        <v>0.28000000000000003</v>
      </c>
      <c r="F29" s="94"/>
      <c r="G29" s="138"/>
      <c r="H29" s="351"/>
      <c r="I29" s="344"/>
    </row>
    <row r="30" spans="1:9">
      <c r="A30" s="127" t="str">
        <f>+LIST!A29</f>
        <v>PTA-011</v>
      </c>
      <c r="B30" s="99" t="str">
        <f>+_xlfn.XLOOKUP($A30,LIST[ID],LIST[DESCRIPCIÓN])</f>
        <v>PINTURA TIPO 1 EXTERIOR 100% ACRILICA, DOS MANOS</v>
      </c>
      <c r="C30" s="4" t="str">
        <f>+_xlfn.XLOOKUP($A30,LIST[ID],LIST[UNIDAD])</f>
        <v>M2</v>
      </c>
      <c r="D30" s="100" t="s">
        <v>297</v>
      </c>
      <c r="E30" s="350">
        <v>0.28000000000000003</v>
      </c>
      <c r="F30" s="94"/>
      <c r="G30" s="138"/>
      <c r="H30" s="351"/>
      <c r="I30" s="344"/>
    </row>
    <row r="31" spans="1:9">
      <c r="A31" s="127" t="str">
        <f>+LIST!A30</f>
        <v>PTA-012</v>
      </c>
      <c r="B31" s="99" t="str">
        <f>+_xlfn.XLOOKUP($A31,LIST[ID],LIST[DESCRIPCIÓN])</f>
        <v>POLARIZADO PARA VENTANAS PELICULA PROTECCIÓN 100% UV 2 MM</v>
      </c>
      <c r="C31" s="4" t="str">
        <f>+_xlfn.XLOOKUP($A31,LIST[ID],LIST[UNIDAD])</f>
        <v>M2</v>
      </c>
      <c r="D31" s="100" t="s">
        <v>297</v>
      </c>
      <c r="E31" s="350">
        <v>0.2</v>
      </c>
      <c r="F31" s="94"/>
      <c r="G31" s="138"/>
      <c r="H31" s="351"/>
      <c r="I31" s="344"/>
    </row>
    <row r="32" spans="1:9">
      <c r="A32" s="127" t="str">
        <f>+LIST!A31</f>
        <v>PTA-013</v>
      </c>
      <c r="B32" s="99" t="str">
        <f>+_xlfn.XLOOKUP($A32,LIST[ID],LIST[DESCRIPCIÓN])</f>
        <v>ENCHAPE CERAMICO 20X30 CM COLOR BLANCO (PARED)</v>
      </c>
      <c r="C32" s="4" t="str">
        <f>+_xlfn.XLOOKUP($A32,LIST[ID],LIST[UNIDAD])</f>
        <v>M2</v>
      </c>
      <c r="D32" s="100" t="s">
        <v>297</v>
      </c>
      <c r="E32" s="350">
        <v>0.8</v>
      </c>
      <c r="F32" s="94"/>
      <c r="G32" s="138"/>
      <c r="H32" s="351"/>
      <c r="I32" s="344"/>
    </row>
    <row r="33" spans="1:9">
      <c r="A33" s="127" t="str">
        <f>+LIST!A32</f>
        <v>PTA-014</v>
      </c>
      <c r="B33" s="99" t="str">
        <f>+_xlfn.XLOOKUP($A33,LIST[ID],LIST[DESCRIPCIÓN])</f>
        <v>PINTURA ESMALTE ELEMENTOS METALICOS (AREA)</v>
      </c>
      <c r="C33" s="4" t="str">
        <f>+_xlfn.XLOOKUP($A33,LIST[ID],LIST[UNIDAD])</f>
        <v>M2</v>
      </c>
      <c r="D33" s="100" t="s">
        <v>297</v>
      </c>
      <c r="E33" s="350">
        <v>0.28000000000000003</v>
      </c>
      <c r="F33" s="94"/>
      <c r="G33" s="138"/>
      <c r="H33" s="351">
        <f t="shared" ref="H33:H34" si="3">+AVERAGE(E33:G33)</f>
        <v>0.28000000000000003</v>
      </c>
      <c r="I33" s="344"/>
    </row>
    <row r="34" spans="1:9">
      <c r="A34" s="127" t="str">
        <f>+LIST!A33</f>
        <v>PTA-015</v>
      </c>
      <c r="B34" s="99" t="str">
        <f>+_xlfn.XLOOKUP($A34,LIST[ID],LIST[DESCRIPCIÓN])</f>
        <v>PINTURA ESMALTE ELEMENTOS METALICOS (LINEAL BARANDA)</v>
      </c>
      <c r="C34" s="4" t="str">
        <f>+_xlfn.XLOOKUP($A34,LIST[ID],LIST[UNIDAD])</f>
        <v>M</v>
      </c>
      <c r="D34" s="100" t="s">
        <v>297</v>
      </c>
      <c r="E34" s="350">
        <v>0.18</v>
      </c>
      <c r="F34" s="94"/>
      <c r="G34" s="138"/>
      <c r="H34" s="351">
        <f t="shared" si="3"/>
        <v>0.18</v>
      </c>
      <c r="I34" s="344"/>
    </row>
    <row r="35" spans="1:9">
      <c r="A35" s="127" t="str">
        <f>+LIST!A34</f>
        <v>PTA-016</v>
      </c>
      <c r="B35" s="99" t="str">
        <f>+_xlfn.XLOOKUP($A35,LIST[ID],LIST[DESCRIPCIÓN])</f>
        <v>MURAL DECORATIVO CON IDENTIFICACIÓN CULTURAL</v>
      </c>
      <c r="C35" s="4" t="str">
        <f>+_xlfn.XLOOKUP($A35,LIST[ID],LIST[UNIDAD])</f>
        <v>M2</v>
      </c>
      <c r="D35" s="100"/>
      <c r="E35" s="350"/>
      <c r="F35" s="94"/>
      <c r="G35" s="138"/>
      <c r="H35" s="351" t="e">
        <f>+AVERAGE(E35:G35)</f>
        <v>#DIV/0!</v>
      </c>
      <c r="I35" s="344"/>
    </row>
    <row r="36" spans="1:9">
      <c r="A36" s="127">
        <f>+LIST!A35</f>
        <v>0</v>
      </c>
      <c r="B36" s="340"/>
      <c r="C36" s="100"/>
      <c r="D36" s="100"/>
      <c r="E36" s="350"/>
      <c r="F36" s="94"/>
      <c r="G36" s="138"/>
      <c r="H36" s="351" t="e">
        <f>+AVERAGE(E36:G36)</f>
        <v>#DIV/0!</v>
      </c>
      <c r="I36" s="344"/>
    </row>
    <row r="37" spans="1:9">
      <c r="A37" s="127" t="str">
        <f>+LIST!A36</f>
        <v>CMR</v>
      </c>
      <c r="B37" s="357" t="str">
        <f>+LIST!B36</f>
        <v>CONCRETOS, MORTEROS Y REFUERZOS (CMR)</v>
      </c>
      <c r="C37" s="365"/>
      <c r="D37" s="366"/>
      <c r="E37" s="360"/>
      <c r="F37" s="360"/>
      <c r="G37" s="367"/>
      <c r="H37" s="360"/>
      <c r="I37" s="368"/>
    </row>
    <row r="38" spans="1:9">
      <c r="A38" s="127" t="str">
        <f>+LIST!A37</f>
        <v>CMR-001</v>
      </c>
      <c r="B38" s="355" t="str">
        <f>+_xlfn.XLOOKUP($A38,LIST[ID],LIST[DESCRIPCIÓN])</f>
        <v>ACERO DE REFUERZO 60.000 PSI</v>
      </c>
      <c r="C38" s="100" t="s">
        <v>12</v>
      </c>
      <c r="D38" s="4" t="s">
        <v>297</v>
      </c>
      <c r="E38" s="137">
        <v>0.08</v>
      </c>
      <c r="F38" s="137">
        <v>0.06</v>
      </c>
      <c r="G38" s="138">
        <v>0.05</v>
      </c>
      <c r="H38" s="351">
        <f>+AVERAGE(E38:G38)</f>
        <v>6.3333333333333339E-2</v>
      </c>
      <c r="I38" s="344"/>
    </row>
    <row r="39" spans="1:9">
      <c r="A39" s="127" t="str">
        <f>+LIST!A38</f>
        <v>CMR-002</v>
      </c>
      <c r="B39" s="355" t="str">
        <f>+_xlfn.XLOOKUP($A39,LIST[ID],LIST[DESCRIPCIÓN])</f>
        <v xml:space="preserve">CONCRETO 3.000 PSI </v>
      </c>
      <c r="C39" s="328" t="str">
        <f>+_xlfn.XLOOKUP($A39,LIST[ID],LIST[UNIDAD])</f>
        <v>M3</v>
      </c>
      <c r="D39" s="100" t="s">
        <v>297</v>
      </c>
      <c r="E39" s="137">
        <v>8</v>
      </c>
      <c r="F39" s="137">
        <v>6</v>
      </c>
      <c r="G39" s="138">
        <v>5</v>
      </c>
      <c r="H39" s="137">
        <v>4.5</v>
      </c>
      <c r="I39" s="344"/>
    </row>
    <row r="40" spans="1:9" ht="57.6">
      <c r="A40" s="127" t="str">
        <f>+LIST!A39</f>
        <v>CMR-003</v>
      </c>
      <c r="B40" s="355" t="str">
        <f>+_xlfn.XLOOKUP($A40,LIST[ID],LIST[DESCRIPCIÓN])</f>
        <v>SUMINISTRO E INSTALACION DE TUBERIA PETROLERA DE  20" y  10", INCLUYE ESCALERA DE ACCESO, ESTRUCTURA DE FIJACION DE LA PANTALLA Y TODOS LOS ELEMENTROS NECESARIOS PARA SU CORRECTO FUNCIONAMIENTO</v>
      </c>
      <c r="C40" s="328" t="str">
        <f>+_xlfn.XLOOKUP($A40,LIST[ID],LIST[UNIDAD])</f>
        <v>KG</v>
      </c>
      <c r="D40" s="98" t="s">
        <v>297</v>
      </c>
      <c r="E40" s="137"/>
      <c r="F40" s="137"/>
      <c r="G40" s="138"/>
      <c r="H40" s="137"/>
      <c r="I40" s="153"/>
    </row>
    <row r="41" spans="1:9">
      <c r="A41" s="127">
        <f>+LIST!A40</f>
        <v>0</v>
      </c>
      <c r="B41" s="340"/>
      <c r="C41" s="100"/>
      <c r="D41" s="98"/>
      <c r="E41" s="350"/>
      <c r="F41" s="94"/>
      <c r="G41" s="138"/>
      <c r="H41" s="351"/>
      <c r="I41" s="153"/>
    </row>
    <row r="42" spans="1:9">
      <c r="A42" s="127">
        <f>+LIST!A41</f>
        <v>0</v>
      </c>
      <c r="B42" s="340"/>
      <c r="C42" s="100"/>
      <c r="D42" s="98"/>
      <c r="E42" s="350"/>
      <c r="F42" s="94"/>
      <c r="G42" s="138"/>
      <c r="H42" s="351"/>
      <c r="I42" s="153"/>
    </row>
    <row r="43" spans="1:9">
      <c r="A43" s="127" t="str">
        <f>+LIST!A42</f>
        <v>ELC</v>
      </c>
      <c r="B43" s="357" t="str">
        <f>+LIST!B42</f>
        <v>ELECTRICIDAD Y ACCESORIOS ELECTRICOS (ELC)</v>
      </c>
      <c r="C43" s="366"/>
      <c r="D43" s="369"/>
      <c r="E43" s="360"/>
      <c r="F43" s="360"/>
      <c r="G43" s="360"/>
      <c r="H43" s="360"/>
      <c r="I43" s="370"/>
    </row>
    <row r="44" spans="1:9" ht="57.6">
      <c r="A44" s="127" t="str">
        <f>+LIST!A43</f>
        <v>ELC-001</v>
      </c>
      <c r="B44" s="355" t="str">
        <f>+_xlfn.XLOOKUP($A44,LIST[ID],LIST[DESCRIPCIÓN])</f>
        <v>SUMINISTRO E INSTALACION DE PANTALLA EXTERIO  3,9 PICH CON 15 GRADO DE 7680 HZ #500 X1000 MM CON PROCESADOR Tb40 , INCLUYE CONEXIÓN ELECTRICA, CAJA DE CONTROL Y PUESTA EN FUNCIONAMIENTO.</v>
      </c>
      <c r="C44" s="328" t="str">
        <f>+_xlfn.XLOOKUP($A44,LIST[ID],LIST[UNIDAD])</f>
        <v>UND</v>
      </c>
      <c r="D44" s="98" t="s">
        <v>297</v>
      </c>
      <c r="E44" s="137"/>
      <c r="F44" s="137"/>
      <c r="G44" s="138"/>
      <c r="H44" s="137"/>
      <c r="I44" s="153"/>
    </row>
    <row r="45" spans="1:9">
      <c r="A45" s="127" t="str">
        <f>+LIST!A44</f>
        <v>ELC-002</v>
      </c>
      <c r="B45" s="355" t="str">
        <f>+_xlfn.XLOOKUP($A45,LIST[ID],LIST[DESCRIPCIÓN])</f>
        <v>TABLERO ELECTRICO PARA INSTALACIÓN PANTALLA BIFASICO</v>
      </c>
      <c r="C45" s="328" t="str">
        <f>+_xlfn.XLOOKUP($A45,LIST[ID],LIST[UNIDAD])</f>
        <v>UND</v>
      </c>
      <c r="D45" s="4" t="s">
        <v>297</v>
      </c>
      <c r="E45" s="137"/>
      <c r="F45" s="137"/>
      <c r="G45" s="137"/>
      <c r="H45" s="137"/>
      <c r="I45" s="152"/>
    </row>
    <row r="46" spans="1:9" ht="18" customHeight="1">
      <c r="A46" s="127" t="str">
        <f>+LIST!A45</f>
        <v>ELC-003</v>
      </c>
      <c r="B46" s="355" t="str">
        <f>+_xlfn.XLOOKUP($A46,LIST[ID],LIST[DESCRIPCIÓN])</f>
        <v>RED ELECTRICA EN CABLE N°12 Y TUBO EMT 1/2" PVC</v>
      </c>
      <c r="C46" s="328" t="str">
        <f>+_xlfn.XLOOKUP($A46,LIST[ID],LIST[UNIDAD])</f>
        <v>M</v>
      </c>
      <c r="D46" s="4" t="s">
        <v>297</v>
      </c>
      <c r="E46" s="137">
        <v>0.4</v>
      </c>
      <c r="F46" s="137">
        <v>0.3</v>
      </c>
      <c r="G46" s="137">
        <v>0.25</v>
      </c>
      <c r="H46" s="137">
        <v>0.2</v>
      </c>
      <c r="I46" s="153"/>
    </row>
    <row r="47" spans="1:9" ht="18" customHeight="1">
      <c r="A47" s="127" t="str">
        <f>+LIST!A46</f>
        <v>ELC-004</v>
      </c>
      <c r="B47" s="355" t="str">
        <f>+_xlfn.XLOOKUP($A47,LIST[ID],LIST[DESCRIPCIÓN])</f>
        <v>PUNTO ELECTRICO DE CONEXIÓN DOBLE</v>
      </c>
      <c r="C47" s="328" t="str">
        <f>+_xlfn.XLOOKUP($A47,LIST[ID],LIST[UNIDAD])</f>
        <v>UND</v>
      </c>
      <c r="D47" s="4" t="s">
        <v>297</v>
      </c>
      <c r="E47" s="350">
        <v>0.5</v>
      </c>
      <c r="F47" s="372">
        <v>0.35</v>
      </c>
      <c r="G47" s="403"/>
      <c r="H47" s="371">
        <f>+AVERAGE(E47:G47)</f>
        <v>0.42499999999999999</v>
      </c>
      <c r="I47" s="153"/>
    </row>
    <row r="48" spans="1:9" ht="28.8">
      <c r="A48" s="127" t="str">
        <f>+LIST!A47</f>
        <v>ELC-005</v>
      </c>
      <c r="B48" s="355" t="str">
        <f>+_xlfn.XLOOKUP($A48,LIST[ID],LIST[DESCRIPCIÓN])</f>
        <v>PUNTO DE ILUMINACIÓN INCLUYE INTERRUPTOR, PLAFON Y BOMBILLO 50 W</v>
      </c>
      <c r="C48" s="328" t="str">
        <f>+_xlfn.XLOOKUP($A48,LIST[ID],LIST[UNIDAD])</f>
        <v>UND</v>
      </c>
      <c r="D48" s="4" t="s">
        <v>297</v>
      </c>
      <c r="E48" s="403">
        <v>0.56999999999999995</v>
      </c>
      <c r="F48" s="372">
        <v>0.45</v>
      </c>
      <c r="G48" s="403"/>
      <c r="H48" s="371"/>
      <c r="I48" s="153"/>
    </row>
    <row r="49" spans="1:9" ht="28.8">
      <c r="A49" s="127" t="str">
        <f>+LIST!A48</f>
        <v>ELC-006</v>
      </c>
      <c r="B49" s="355" t="str">
        <f>+_xlfn.XLOOKUP($A49,LIST[ID],LIST[DESCRIPCIÓN])</f>
        <v>PUNTO DE ILUMINACIÓN INCLUYE INTERRUPTOR Y LAMPARA 18W</v>
      </c>
      <c r="C49" s="328" t="str">
        <f>+_xlfn.XLOOKUP($A49,LIST[ID],LIST[UNIDAD])</f>
        <v>UND</v>
      </c>
      <c r="D49" s="4" t="s">
        <v>297</v>
      </c>
      <c r="E49" s="403">
        <v>0.5</v>
      </c>
      <c r="F49" s="372">
        <v>0.35</v>
      </c>
      <c r="G49" s="403"/>
      <c r="H49" s="371"/>
      <c r="I49" s="153"/>
    </row>
    <row r="50" spans="1:9" ht="18" customHeight="1">
      <c r="A50" s="127" t="str">
        <f>+LIST!A49</f>
        <v>ELC-007</v>
      </c>
      <c r="B50" s="355" t="str">
        <f>+_xlfn.XLOOKUP($A50,LIST[ID],LIST[DESCRIPCIÓN])</f>
        <v>CANALETA METALICA ELECTRICA 5CMX12CMX2M (INCLUYE PUNTOS ELECTRICOS Y DE DATOS)</v>
      </c>
      <c r="C50" s="328" t="str">
        <f>+_xlfn.XLOOKUP($A50,LIST[ID],LIST[UNIDAD])</f>
        <v>M</v>
      </c>
      <c r="D50" s="4" t="s">
        <v>297</v>
      </c>
      <c r="E50" s="350">
        <v>1.6</v>
      </c>
      <c r="F50" s="94"/>
      <c r="G50" s="350"/>
      <c r="H50" s="351"/>
      <c r="I50" s="153"/>
    </row>
    <row r="51" spans="1:9" ht="18" customHeight="1">
      <c r="A51" s="127">
        <f>+LIST!A50</f>
        <v>0</v>
      </c>
      <c r="B51" s="340"/>
      <c r="C51" s="100"/>
      <c r="D51" s="100"/>
      <c r="E51" s="350"/>
      <c r="F51" s="94"/>
      <c r="G51" s="350"/>
      <c r="H51" s="351"/>
      <c r="I51" s="153"/>
    </row>
    <row r="52" spans="1:9">
      <c r="A52" s="127" t="str">
        <f>+LIST!A51</f>
        <v>HS</v>
      </c>
      <c r="B52" s="357" t="str">
        <f>+LIST!B51</f>
        <v>HIDRAULICO Y SANITARIO (HS)</v>
      </c>
      <c r="C52" s="366"/>
      <c r="D52" s="369"/>
      <c r="E52" s="360"/>
      <c r="F52" s="360"/>
      <c r="G52" s="360"/>
      <c r="H52" s="360"/>
      <c r="I52" s="370"/>
    </row>
    <row r="53" spans="1:9" ht="28.8">
      <c r="A53" s="127" t="str">
        <f>+LIST!A52</f>
        <v>HS-001</v>
      </c>
      <c r="B53" s="355" t="str">
        <f>+_xlfn.XLOOKUP($A53,LIST[ID],LIST[DESCRIPCIÓN])</f>
        <v>SUMINISTRO E INSTALACION DE SANITARIO (INCLUYE GRIFERIA)</v>
      </c>
      <c r="C53" s="328" t="str">
        <f>+_xlfn.XLOOKUP($A53,LIST[ID],LIST[UNIDAD])</f>
        <v>UND</v>
      </c>
      <c r="D53" s="4" t="s">
        <v>297</v>
      </c>
      <c r="E53" s="372">
        <v>2.5</v>
      </c>
      <c r="F53" s="372"/>
      <c r="G53" s="372"/>
      <c r="H53" s="373"/>
      <c r="I53" s="374"/>
    </row>
    <row r="54" spans="1:9" ht="28.8">
      <c r="A54" s="127" t="str">
        <f>+LIST!A53</f>
        <v>HS-002</v>
      </c>
      <c r="B54" s="355" t="str">
        <f>+_xlfn.XLOOKUP($A54,LIST[ID],LIST[DESCRIPCIÓN])</f>
        <v>SUMINISTRO E INSTALACION DE SANITARIO INFANTIL (INCLUYE GRIFERIA)</v>
      </c>
      <c r="C54" s="328" t="str">
        <f>+_xlfn.XLOOKUP($A54,LIST[ID],LIST[UNIDAD])</f>
        <v>UND</v>
      </c>
      <c r="D54" s="4" t="s">
        <v>297</v>
      </c>
      <c r="E54" s="372">
        <v>1.5</v>
      </c>
      <c r="F54" s="372"/>
      <c r="G54" s="372"/>
      <c r="H54" s="373"/>
      <c r="I54" s="375"/>
    </row>
    <row r="55" spans="1:9" ht="28.8">
      <c r="A55" s="127" t="str">
        <f>+LIST!A54</f>
        <v>HS-003</v>
      </c>
      <c r="B55" s="355" t="str">
        <f>+_xlfn.XLOOKUP($A55,LIST[ID],LIST[DESCRIPCIÓN])</f>
        <v>SUMINISTRO E INSTALACION DE LAVAMOS DE EMPOTRAR (INCLUYE GRIFERIA)</v>
      </c>
      <c r="C55" s="328" t="str">
        <f>+_xlfn.XLOOKUP($A55,LIST[ID],LIST[UNIDAD])</f>
        <v>UND</v>
      </c>
      <c r="D55" s="4" t="s">
        <v>297</v>
      </c>
      <c r="E55" s="372">
        <v>1.2</v>
      </c>
      <c r="F55" s="372"/>
      <c r="G55" s="376"/>
      <c r="H55" s="373"/>
      <c r="I55" s="377"/>
    </row>
    <row r="56" spans="1:9">
      <c r="A56" s="127" t="str">
        <f>+LIST!A55</f>
        <v>HS-004</v>
      </c>
      <c r="B56" s="355" t="str">
        <f>+_xlfn.XLOOKUP($A56,LIST[ID],LIST[DESCRIPCIÓN])</f>
        <v>SUMINISTRO E INSTALACIÓN DE LLAVE LAVAMANOS TIPO PUSH</v>
      </c>
      <c r="C56" s="328" t="str">
        <f>+_xlfn.XLOOKUP($A56,LIST[ID],LIST[UNIDAD])</f>
        <v>UND</v>
      </c>
      <c r="D56" s="4" t="s">
        <v>297</v>
      </c>
      <c r="E56" s="371">
        <v>0.8</v>
      </c>
      <c r="F56" s="372"/>
      <c r="G56" s="376"/>
      <c r="H56" s="373"/>
      <c r="I56" s="377"/>
    </row>
    <row r="57" spans="1:9">
      <c r="A57" s="127" t="str">
        <f>+LIST!A56</f>
        <v>HS-005</v>
      </c>
      <c r="B57" s="355" t="str">
        <f>+_xlfn.XLOOKUP($A57,LIST[ID],LIST[DESCRIPCIÓN])</f>
        <v>SUMINISTRO E INSTALACIÓN DE DESAGUE PARA LAVAMOS</v>
      </c>
      <c r="C57" s="328" t="str">
        <f>+_xlfn.XLOOKUP($A57,LIST[ID],LIST[UNIDAD])</f>
        <v>UND</v>
      </c>
      <c r="D57" s="4" t="s">
        <v>297</v>
      </c>
      <c r="E57" s="371">
        <v>1</v>
      </c>
      <c r="F57" s="372"/>
      <c r="G57" s="372"/>
      <c r="H57" s="373"/>
      <c r="I57" s="374"/>
    </row>
    <row r="58" spans="1:9">
      <c r="A58" s="127" t="str">
        <f>+LIST!A57</f>
        <v>HS-006</v>
      </c>
      <c r="B58" s="355" t="str">
        <f>+_xlfn.XLOOKUP($A58,LIST[ID],LIST[DESCRIPCIÓN])</f>
        <v>MANTENIMIENTO RED SANITARIA (PUNTO OBSTRUIDO)</v>
      </c>
      <c r="C58" s="328" t="str">
        <f>+_xlfn.XLOOKUP($A58,LIST[ID],LIST[UNIDAD])</f>
        <v>UND</v>
      </c>
      <c r="D58" s="4" t="s">
        <v>297</v>
      </c>
      <c r="E58" s="371">
        <v>3</v>
      </c>
      <c r="F58" s="372"/>
      <c r="G58" s="372"/>
      <c r="H58" s="373"/>
      <c r="I58" s="375"/>
    </row>
    <row r="59" spans="1:9" ht="28.8">
      <c r="A59" s="127" t="str">
        <f>+LIST!A58</f>
        <v>HS-007</v>
      </c>
      <c r="B59" s="355" t="str">
        <f>+_xlfn.XLOOKUP($A59,LIST[ID],LIST[DESCRIPCIÓN])</f>
        <v>TAPA EN CONCRETO PARA CAJA DE INSPECCIÓN 1X1 M CON TERMINAL EN ANGULO 1/2"</v>
      </c>
      <c r="C59" s="328" t="str">
        <f>+_xlfn.XLOOKUP($A59,LIST[ID],LIST[UNIDAD])</f>
        <v>UND</v>
      </c>
      <c r="D59" s="4" t="s">
        <v>297</v>
      </c>
      <c r="E59" s="371">
        <v>4</v>
      </c>
      <c r="F59" s="372"/>
      <c r="G59" s="372"/>
      <c r="H59" s="373"/>
      <c r="I59" s="374"/>
    </row>
    <row r="60" spans="1:9" ht="22.5" customHeight="1">
      <c r="A60" s="127" t="str">
        <f>+LIST!A59</f>
        <v>HS-008</v>
      </c>
      <c r="B60" s="355" t="str">
        <f>+_xlfn.XLOOKUP($A60,LIST[ID],LIST[DESCRIPCIÓN])</f>
        <v>SUMINISTRO E INSTALACIÓN DE LLAVE ORINAL TIPO PUSH</v>
      </c>
      <c r="C60" s="328" t="str">
        <f>+_xlfn.XLOOKUP($A60,LIST[ID],LIST[UNIDAD])</f>
        <v>UND</v>
      </c>
      <c r="D60" s="4" t="s">
        <v>297</v>
      </c>
      <c r="E60" s="371">
        <v>0.8</v>
      </c>
      <c r="F60" s="372"/>
      <c r="G60" s="376"/>
      <c r="H60" s="373"/>
      <c r="I60" s="377"/>
    </row>
    <row r="61" spans="1:9" ht="22.5" customHeight="1">
      <c r="A61" s="127" t="str">
        <f>+LIST!A60</f>
        <v>HS-009</v>
      </c>
      <c r="B61" s="355" t="str">
        <f>+_xlfn.XLOOKUP($A61,LIST[ID],LIST[DESCRIPCIÓN])</f>
        <v>SUMINISTRO E INSTALACIÓN DE GRIFERIA PARA SANITARIO</v>
      </c>
      <c r="C61" s="328" t="str">
        <f>+_xlfn.XLOOKUP($A61,LIST[ID],LIST[UNIDAD])</f>
        <v>UND</v>
      </c>
      <c r="D61" s="4" t="s">
        <v>297</v>
      </c>
      <c r="E61" s="371">
        <v>1</v>
      </c>
      <c r="F61" s="372"/>
      <c r="G61" s="372"/>
      <c r="H61" s="373"/>
      <c r="I61" s="374"/>
    </row>
    <row r="62" spans="1:9">
      <c r="A62" s="127">
        <f>+LIST!A61</f>
        <v>0</v>
      </c>
      <c r="B62" s="99" t="e">
        <f>+_xlfn.XLOOKUP($A62,LIST[ID],LIST[DESCRIPCIÓN])</f>
        <v>#N/A</v>
      </c>
      <c r="C62" s="4" t="e">
        <f>+_xlfn.XLOOKUP($A62,LIST[ID],LIST[UNIDAD])</f>
        <v>#N/A</v>
      </c>
      <c r="D62" s="100"/>
      <c r="E62" s="350"/>
      <c r="F62" s="94"/>
      <c r="G62" s="380"/>
      <c r="H62" s="95"/>
      <c r="I62" s="381"/>
    </row>
    <row r="63" spans="1:9" ht="19.5" customHeight="1">
      <c r="A63" s="127">
        <f>+LIST!A62</f>
        <v>0</v>
      </c>
      <c r="B63" s="355" t="e">
        <f>+_xlfn.XLOOKUP($A63,LIST[ID],LIST[DESCRIPCIÓN])</f>
        <v>#N/A</v>
      </c>
      <c r="C63" s="328" t="e">
        <f>+_xlfn.XLOOKUP($A63,LIST[ID],LIST[UNIDAD])</f>
        <v>#N/A</v>
      </c>
      <c r="D63" s="4" t="s">
        <v>297</v>
      </c>
      <c r="E63" s="371"/>
      <c r="F63" s="372"/>
      <c r="G63" s="376"/>
      <c r="H63" s="373"/>
      <c r="I63" s="377"/>
    </row>
    <row r="64" spans="1:9">
      <c r="A64" s="127">
        <f>+LIST!A63</f>
        <v>0</v>
      </c>
      <c r="B64" s="355" t="e">
        <f>+_xlfn.XLOOKUP($A64,LIST[ID],LIST[DESCRIPCIÓN])</f>
        <v>#N/A</v>
      </c>
      <c r="C64" s="328" t="e">
        <f>+_xlfn.XLOOKUP($A64,LIST[ID],LIST[UNIDAD])</f>
        <v>#N/A</v>
      </c>
      <c r="D64" s="4" t="s">
        <v>297</v>
      </c>
      <c r="E64" s="371"/>
      <c r="F64" s="372"/>
      <c r="G64" s="376"/>
      <c r="H64" s="373"/>
      <c r="I64" s="377"/>
    </row>
    <row r="65" spans="1:9" ht="28.8">
      <c r="A65" s="127" t="str">
        <f>+LIST!A64</f>
        <v>CIE</v>
      </c>
      <c r="B65" s="357" t="str">
        <f>+LIST!B64</f>
        <v>CUBIERTAS, IMPERMEABILIZANTE Y ELEMENTOS DE SOPORTE (CIE)</v>
      </c>
      <c r="C65" s="383"/>
      <c r="D65" s="366"/>
      <c r="E65" s="384"/>
      <c r="F65" s="385"/>
      <c r="G65" s="386"/>
      <c r="H65" s="387"/>
      <c r="I65" s="388"/>
    </row>
    <row r="66" spans="1:9">
      <c r="A66" s="127" t="str">
        <f>+LIST!A65</f>
        <v>CIE-001</v>
      </c>
      <c r="B66" s="355" t="str">
        <f>+_xlfn.XLOOKUP($A66,LIST[ID],LIST[DESCRIPCIÓN])</f>
        <v>TEJA EN LAMINA GALVANIZADA CAL.28</v>
      </c>
      <c r="C66" s="328" t="str">
        <f>+_xlfn.XLOOKUP($A66,LIST[ID],LIST[UNIDAD])</f>
        <v>M2</v>
      </c>
      <c r="D66" s="100" t="s">
        <v>297</v>
      </c>
      <c r="E66" s="371">
        <v>0.65</v>
      </c>
      <c r="F66" s="372">
        <v>0.48</v>
      </c>
      <c r="G66" s="376"/>
      <c r="H66" s="95"/>
      <c r="I66" s="153"/>
    </row>
    <row r="67" spans="1:9">
      <c r="A67" s="127" t="str">
        <f>+LIST!A66</f>
        <v>CIE-002</v>
      </c>
      <c r="B67" s="355" t="str">
        <f>+_xlfn.XLOOKUP($A67,LIST[ID],LIST[DESCRIPCIÓN])</f>
        <v>TUBERÍA PVC 4" SANITARIO BAJANTE AGUAS LLUVIAS</v>
      </c>
      <c r="C67" s="328" t="str">
        <f>+_xlfn.XLOOKUP($A67,LIST[ID],LIST[UNIDAD])</f>
        <v>M</v>
      </c>
      <c r="D67" s="100" t="s">
        <v>297</v>
      </c>
      <c r="E67" s="399">
        <v>0.5</v>
      </c>
      <c r="F67" s="372">
        <v>0.42</v>
      </c>
      <c r="G67" s="376"/>
      <c r="H67" s="95"/>
      <c r="I67" s="153"/>
    </row>
    <row r="68" spans="1:9">
      <c r="A68" s="127" t="str">
        <f>+LIST!A67</f>
        <v>CIE-003</v>
      </c>
      <c r="B68" s="355" t="str">
        <f>+_xlfn.XLOOKUP($A68,LIST[ID],LIST[DESCRIPCIÓN])</f>
        <v xml:space="preserve">TEJA TERMOACISTICA ARQUITECTONICA CAL. 31 </v>
      </c>
      <c r="C68" s="328" t="str">
        <f>+_xlfn.XLOOKUP($A68,LIST[ID],LIST[UNIDAD])</f>
        <v>M2</v>
      </c>
      <c r="D68" s="100" t="s">
        <v>297</v>
      </c>
      <c r="E68" s="382">
        <v>0.65</v>
      </c>
      <c r="F68" s="372">
        <v>0.48</v>
      </c>
      <c r="G68" s="376"/>
      <c r="H68" s="95"/>
      <c r="I68" s="153"/>
    </row>
    <row r="69" spans="1:9">
      <c r="A69" s="127" t="str">
        <f>+LIST!A68</f>
        <v>CIE-004</v>
      </c>
      <c r="B69" s="355" t="str">
        <f>+_xlfn.XLOOKUP($A69,LIST[ID],LIST[DESCRIPCIÓN])</f>
        <v>FLANCHE METALICO CUBIERTA CAL.26</v>
      </c>
      <c r="C69" s="328" t="str">
        <f>+_xlfn.XLOOKUP($A69,LIST[ID],LIST[UNIDAD])</f>
        <v>M</v>
      </c>
      <c r="D69" s="100" t="s">
        <v>297</v>
      </c>
      <c r="E69" s="138">
        <v>0.3</v>
      </c>
      <c r="F69" s="94"/>
      <c r="G69" s="376"/>
      <c r="H69" s="95"/>
      <c r="I69" s="153"/>
    </row>
    <row r="70" spans="1:9">
      <c r="A70" s="127" t="str">
        <f>+LIST!A69</f>
        <v>CIE-005</v>
      </c>
      <c r="B70" s="355" t="str">
        <f>+_xlfn.XLOOKUP($A70,LIST[ID],LIST[DESCRIPCIÓN])</f>
        <v>TAPA GOTERAS CON SELLANTE, ACRILICO+FIBRA</v>
      </c>
      <c r="C70" s="100" t="s">
        <v>9</v>
      </c>
      <c r="D70" s="100" t="s">
        <v>297</v>
      </c>
      <c r="E70" s="382">
        <v>0.22</v>
      </c>
      <c r="F70" s="372">
        <v>0.18</v>
      </c>
      <c r="G70" s="376"/>
      <c r="H70" s="95"/>
      <c r="I70" s="153"/>
    </row>
    <row r="71" spans="1:9">
      <c r="A71" s="127">
        <f>+LIST!A70</f>
        <v>0</v>
      </c>
      <c r="B71" s="340"/>
      <c r="C71" s="100"/>
      <c r="D71" s="100"/>
      <c r="E71" s="382"/>
      <c r="F71" s="372"/>
      <c r="G71" s="376"/>
      <c r="H71" s="95"/>
      <c r="I71" s="153"/>
    </row>
    <row r="72" spans="1:9">
      <c r="A72" s="127" t="str">
        <f>+LIST!A71</f>
        <v>LF</v>
      </c>
      <c r="B72" s="391" t="str">
        <f>+LIST!B71</f>
        <v>LIMPIEZA Y FINALIZACIÓN DE OBRA (LF)</v>
      </c>
      <c r="C72" s="392"/>
      <c r="D72" s="392"/>
      <c r="E72" s="393"/>
      <c r="F72" s="394"/>
      <c r="G72" s="395"/>
      <c r="H72" s="396"/>
      <c r="I72" s="397"/>
    </row>
    <row r="73" spans="1:9">
      <c r="A73" s="127" t="str">
        <f>+LIST!A72</f>
        <v>LF-001</v>
      </c>
      <c r="B73" s="355" t="str">
        <f>+_xlfn.XLOOKUP($A73,LIST[ID],LIST[DESCRIPCIÓN])</f>
        <v>RETIRO DE MATERIAL SOBRANTE HASTA 5 KM</v>
      </c>
      <c r="C73" s="328" t="str">
        <f>+_xlfn.XLOOKUP($A73,LIST[ID],LIST[UNIDAD])</f>
        <v>M3</v>
      </c>
      <c r="D73" s="100" t="s">
        <v>297</v>
      </c>
      <c r="E73" s="138">
        <v>0.06</v>
      </c>
      <c r="F73" s="137">
        <v>0.05</v>
      </c>
      <c r="G73" s="88"/>
      <c r="H73" s="95"/>
      <c r="I73" s="153"/>
    </row>
    <row r="74" spans="1:9">
      <c r="A74" s="127">
        <f>+LIST!A73</f>
        <v>0</v>
      </c>
      <c r="B74" s="88" t="s">
        <v>130</v>
      </c>
      <c r="C74" s="100"/>
      <c r="D74" s="100" t="s">
        <v>10</v>
      </c>
      <c r="E74" s="138"/>
      <c r="F74" s="94"/>
      <c r="G74" s="88"/>
      <c r="H74" s="95"/>
      <c r="I74" s="153"/>
    </row>
    <row r="75" spans="1:9">
      <c r="A75" s="127">
        <f>+LIST!A74</f>
        <v>0</v>
      </c>
      <c r="B75" s="160" t="s">
        <v>136</v>
      </c>
      <c r="C75" s="167"/>
      <c r="D75" s="167" t="s">
        <v>84</v>
      </c>
      <c r="E75" s="348"/>
      <c r="F75" s="161"/>
      <c r="G75" s="160"/>
      <c r="H75" s="162"/>
      <c r="I75" s="163"/>
    </row>
    <row r="76" spans="1:9">
      <c r="B76" s="89"/>
      <c r="C76" s="148"/>
      <c r="D76" s="89"/>
      <c r="E76" s="139"/>
      <c r="F76" s="89"/>
      <c r="G76" s="89"/>
      <c r="H76" s="89"/>
      <c r="I76" s="89"/>
    </row>
    <row r="77" spans="1:9">
      <c r="B77" s="89"/>
      <c r="C77" s="148"/>
      <c r="D77" s="89"/>
      <c r="E77" s="139"/>
      <c r="F77" s="89"/>
      <c r="G77" s="89"/>
      <c r="H77" s="89"/>
      <c r="I77" s="89"/>
    </row>
    <row r="78" spans="1:9">
      <c r="B78" s="89"/>
      <c r="C78" s="148"/>
      <c r="D78" s="89"/>
      <c r="E78" s="139"/>
      <c r="F78" s="89"/>
      <c r="G78" s="89"/>
      <c r="H78" s="89"/>
      <c r="I78" s="89"/>
    </row>
    <row r="79" spans="1:9">
      <c r="B79" s="89"/>
      <c r="C79" s="148"/>
      <c r="D79" s="89"/>
      <c r="E79" s="139"/>
      <c r="F79" s="89"/>
      <c r="G79" s="89"/>
      <c r="H79" s="89"/>
      <c r="I79" s="89"/>
    </row>
    <row r="80" spans="1:9">
      <c r="B80" s="89"/>
      <c r="C80" s="148"/>
      <c r="D80" s="89"/>
      <c r="E80" s="139"/>
      <c r="F80" s="89"/>
      <c r="G80" s="89"/>
      <c r="H80" s="89"/>
      <c r="I80" s="89"/>
    </row>
    <row r="81" spans="2:9">
      <c r="B81" s="89"/>
      <c r="C81" s="148"/>
      <c r="D81" s="89"/>
      <c r="E81" s="139"/>
      <c r="F81" s="89"/>
      <c r="G81" s="89"/>
      <c r="H81" s="89"/>
      <c r="I81" s="89"/>
    </row>
    <row r="82" spans="2:9">
      <c r="B82" s="89"/>
      <c r="C82" s="148"/>
      <c r="D82" s="89"/>
      <c r="E82" s="139"/>
      <c r="F82" s="89"/>
      <c r="G82" s="89"/>
      <c r="H82" s="89"/>
      <c r="I82" s="89"/>
    </row>
    <row r="83" spans="2:9">
      <c r="B83" s="89"/>
      <c r="C83" s="148"/>
      <c r="D83" s="89"/>
      <c r="E83" s="139"/>
      <c r="F83" s="89"/>
      <c r="G83" s="89"/>
      <c r="H83" s="89"/>
      <c r="I83" s="89"/>
    </row>
    <row r="84" spans="2:9">
      <c r="B84" s="89"/>
      <c r="C84" s="148"/>
      <c r="D84" s="89"/>
      <c r="E84" s="139"/>
      <c r="F84" s="89"/>
      <c r="G84" s="89"/>
      <c r="H84" s="89"/>
      <c r="I84" s="89"/>
    </row>
    <row r="85" spans="2:9">
      <c r="B85" s="89"/>
      <c r="C85" s="148"/>
      <c r="D85" s="89"/>
      <c r="E85" s="139"/>
      <c r="F85" s="89"/>
      <c r="G85" s="89"/>
      <c r="H85" s="89"/>
      <c r="I85" s="89"/>
    </row>
    <row r="86" spans="2:9">
      <c r="B86" s="89"/>
      <c r="C86" s="148"/>
      <c r="D86" s="89"/>
      <c r="E86" s="139"/>
      <c r="F86" s="89"/>
      <c r="G86" s="89"/>
      <c r="H86" s="89"/>
      <c r="I86" s="89"/>
    </row>
    <row r="87" spans="2:9">
      <c r="B87" s="89"/>
      <c r="C87" s="148"/>
      <c r="D87" s="89"/>
      <c r="E87" s="139"/>
      <c r="F87" s="89"/>
      <c r="G87" s="89"/>
      <c r="H87" s="89"/>
      <c r="I87" s="89"/>
    </row>
    <row r="88" spans="2:9">
      <c r="B88" s="89"/>
      <c r="C88" s="148"/>
      <c r="D88" s="89"/>
      <c r="E88" s="139"/>
      <c r="F88" s="89"/>
      <c r="G88" s="89"/>
      <c r="H88" s="89"/>
      <c r="I88" s="89"/>
    </row>
    <row r="89" spans="2:9" ht="33" customHeight="1">
      <c r="B89" s="89"/>
      <c r="C89" s="148"/>
      <c r="D89" s="89"/>
      <c r="E89" s="139"/>
      <c r="F89" s="89"/>
      <c r="G89" s="89"/>
      <c r="H89" s="89"/>
      <c r="I89" s="89"/>
    </row>
    <row r="90" spans="2:9">
      <c r="B90" s="89"/>
      <c r="C90" s="148"/>
      <c r="D90" s="89"/>
      <c r="E90" s="139"/>
      <c r="F90" s="89"/>
      <c r="G90" s="89"/>
      <c r="H90" s="89"/>
      <c r="I90" s="89"/>
    </row>
    <row r="91" spans="2:9">
      <c r="B91" s="89"/>
      <c r="C91" s="148"/>
      <c r="D91" s="89"/>
      <c r="E91" s="139"/>
      <c r="F91" s="89"/>
      <c r="G91" s="89"/>
      <c r="H91" s="89"/>
      <c r="I91" s="89"/>
    </row>
    <row r="92" spans="2:9">
      <c r="B92" s="89"/>
      <c r="C92" s="148"/>
      <c r="D92" s="89"/>
      <c r="E92" s="139"/>
      <c r="F92" s="89"/>
      <c r="G92" s="89"/>
      <c r="H92" s="89"/>
      <c r="I92" s="89"/>
    </row>
    <row r="93" spans="2:9">
      <c r="B93" s="89"/>
      <c r="C93" s="148"/>
      <c r="D93" s="89"/>
      <c r="E93" s="139"/>
      <c r="F93" s="89"/>
      <c r="G93" s="89"/>
      <c r="H93" s="89"/>
      <c r="I93" s="89"/>
    </row>
    <row r="94" spans="2:9">
      <c r="B94" s="89"/>
      <c r="C94" s="148"/>
      <c r="D94" s="89"/>
      <c r="E94" s="139"/>
      <c r="F94" s="89"/>
      <c r="G94" s="89"/>
      <c r="H94" s="89"/>
      <c r="I94" s="89"/>
    </row>
    <row r="95" spans="2:9" ht="24" customHeight="1">
      <c r="B95" s="89"/>
      <c r="C95" s="148"/>
      <c r="D95" s="89"/>
      <c r="E95" s="139"/>
      <c r="F95" s="89"/>
      <c r="G95" s="89"/>
      <c r="H95" s="89"/>
      <c r="I95" s="89"/>
    </row>
    <row r="96" spans="2:9">
      <c r="B96" s="89"/>
      <c r="C96" s="148"/>
      <c r="D96" s="89"/>
      <c r="E96" s="139"/>
      <c r="F96" s="89"/>
      <c r="G96" s="89"/>
      <c r="H96" s="89"/>
      <c r="I96" s="89"/>
    </row>
    <row r="97" spans="2:9">
      <c r="B97" s="89"/>
      <c r="C97" s="148"/>
      <c r="D97" s="89"/>
      <c r="E97" s="139"/>
      <c r="F97" s="89"/>
      <c r="G97" s="89"/>
      <c r="H97" s="89"/>
      <c r="I97" s="89"/>
    </row>
    <row r="98" spans="2:9">
      <c r="B98" s="89"/>
      <c r="C98" s="148"/>
      <c r="D98" s="89"/>
      <c r="E98" s="139"/>
      <c r="F98" s="89"/>
      <c r="G98" s="89"/>
      <c r="H98" s="89"/>
      <c r="I98" s="89"/>
    </row>
    <row r="99" spans="2:9">
      <c r="B99" s="89"/>
      <c r="C99" s="148"/>
      <c r="D99" s="89"/>
      <c r="E99" s="139"/>
      <c r="F99" s="89"/>
      <c r="G99" s="89"/>
      <c r="H99" s="89"/>
      <c r="I99" s="89"/>
    </row>
    <row r="100" spans="2:9">
      <c r="B100" s="89"/>
      <c r="C100" s="148"/>
      <c r="D100" s="89"/>
      <c r="E100" s="139"/>
      <c r="F100" s="89"/>
      <c r="G100" s="89"/>
      <c r="H100" s="89"/>
      <c r="I100" s="89"/>
    </row>
    <row r="101" spans="2:9">
      <c r="B101" s="89"/>
      <c r="C101" s="148"/>
      <c r="D101" s="89"/>
      <c r="E101" s="139"/>
      <c r="F101" s="89"/>
      <c r="G101" s="89"/>
      <c r="H101" s="89"/>
      <c r="I101" s="89"/>
    </row>
  </sheetData>
  <phoneticPr fontId="8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92B3-1CDF-4F94-ACF9-2E6E49C48552}">
  <dimension ref="A1:G64"/>
  <sheetViews>
    <sheetView workbookViewId="0">
      <selection activeCell="A21" sqref="A21"/>
    </sheetView>
  </sheetViews>
  <sheetFormatPr baseColWidth="10" defaultRowHeight="14.4"/>
  <cols>
    <col min="1" max="1" width="45.44140625" customWidth="1"/>
    <col min="3" max="3" width="15.5546875" customWidth="1"/>
    <col min="4" max="4" width="14.5546875" customWidth="1"/>
    <col min="5" max="5" width="15.109375" customWidth="1"/>
    <col min="6" max="6" width="12.33203125" customWidth="1"/>
    <col min="7" max="7" width="16.5546875" customWidth="1"/>
  </cols>
  <sheetData>
    <row r="1" spans="1:7" ht="17.25" customHeight="1">
      <c r="A1" s="406" t="s">
        <v>371</v>
      </c>
      <c r="B1" s="155" t="s">
        <v>28</v>
      </c>
      <c r="C1" s="156" t="s">
        <v>301</v>
      </c>
      <c r="D1" s="155" t="s">
        <v>296</v>
      </c>
      <c r="E1" s="155" t="s">
        <v>39</v>
      </c>
      <c r="F1" s="157" t="s">
        <v>98</v>
      </c>
      <c r="G1" s="158" t="s">
        <v>99</v>
      </c>
    </row>
    <row r="2" spans="1:7">
      <c r="A2" s="129" t="s">
        <v>86</v>
      </c>
      <c r="B2" s="4" t="s">
        <v>300</v>
      </c>
      <c r="C2" s="94">
        <v>50000</v>
      </c>
      <c r="D2" s="94"/>
      <c r="E2" s="407">
        <v>0.2</v>
      </c>
      <c r="F2" s="95">
        <f>+C2*E2</f>
        <v>10000</v>
      </c>
      <c r="G2" s="152"/>
    </row>
    <row r="3" spans="1:7" ht="18" customHeight="1">
      <c r="A3" s="149" t="s">
        <v>87</v>
      </c>
      <c r="B3" s="4" t="s">
        <v>300</v>
      </c>
      <c r="C3" s="94">
        <v>50000</v>
      </c>
      <c r="D3" s="94"/>
      <c r="E3" s="408">
        <v>0.2</v>
      </c>
      <c r="F3" s="95">
        <f t="shared" ref="F3:F8" si="0">+C3*E3</f>
        <v>10000</v>
      </c>
      <c r="G3" s="153"/>
    </row>
    <row r="4" spans="1:7">
      <c r="A4" s="129" t="s">
        <v>338</v>
      </c>
      <c r="B4" s="4" t="s">
        <v>300</v>
      </c>
      <c r="C4" s="65">
        <v>10000</v>
      </c>
      <c r="D4" s="94"/>
      <c r="E4" s="407">
        <v>2.5</v>
      </c>
      <c r="F4" s="95">
        <f t="shared" si="0"/>
        <v>25000</v>
      </c>
      <c r="G4" s="152"/>
    </row>
    <row r="5" spans="1:7">
      <c r="A5" s="129" t="s">
        <v>71</v>
      </c>
      <c r="B5" s="4" t="s">
        <v>300</v>
      </c>
      <c r="C5" s="65">
        <v>7000</v>
      </c>
      <c r="D5" s="94"/>
      <c r="E5" s="407">
        <v>2.5</v>
      </c>
      <c r="F5" s="95">
        <f t="shared" si="0"/>
        <v>17500</v>
      </c>
      <c r="G5" s="154"/>
    </row>
    <row r="6" spans="1:7">
      <c r="A6" s="149" t="s">
        <v>473</v>
      </c>
      <c r="B6" s="100" t="s">
        <v>300</v>
      </c>
      <c r="C6" s="94">
        <v>5000</v>
      </c>
      <c r="D6" s="94"/>
      <c r="E6" s="405">
        <v>2</v>
      </c>
      <c r="F6" s="95">
        <f t="shared" si="0"/>
        <v>10000</v>
      </c>
      <c r="G6" s="153"/>
    </row>
    <row r="7" spans="1:7">
      <c r="A7" s="149" t="s">
        <v>485</v>
      </c>
      <c r="B7" s="100" t="s">
        <v>300</v>
      </c>
      <c r="C7" s="94">
        <v>168000</v>
      </c>
      <c r="D7" s="94"/>
      <c r="E7" s="405">
        <v>0.1</v>
      </c>
      <c r="F7" s="95">
        <f t="shared" si="0"/>
        <v>16800</v>
      </c>
      <c r="G7" s="153"/>
    </row>
    <row r="8" spans="1:7">
      <c r="A8" s="150" t="s">
        <v>491</v>
      </c>
      <c r="B8" s="93" t="s">
        <v>480</v>
      </c>
      <c r="C8" s="94">
        <v>10000</v>
      </c>
      <c r="D8" s="94"/>
      <c r="E8" s="409">
        <v>0.1</v>
      </c>
      <c r="F8" s="95">
        <f t="shared" si="0"/>
        <v>1000</v>
      </c>
      <c r="G8" s="154"/>
    </row>
    <row r="9" spans="1:7" ht="17.25" customHeight="1">
      <c r="A9" s="149" t="s">
        <v>551</v>
      </c>
      <c r="B9" s="100" t="s">
        <v>300</v>
      </c>
      <c r="C9" s="94">
        <v>12000</v>
      </c>
      <c r="D9" s="94"/>
      <c r="E9" s="153">
        <v>0.2</v>
      </c>
      <c r="F9" s="95">
        <f t="shared" ref="F9:F38" si="1">+AVERAGE(C9:E9)</f>
        <v>6000.1</v>
      </c>
      <c r="G9" s="153"/>
    </row>
    <row r="10" spans="1:7" ht="21" customHeight="1">
      <c r="A10" s="149" t="s">
        <v>550</v>
      </c>
      <c r="B10" s="100" t="s">
        <v>480</v>
      </c>
      <c r="C10" s="94">
        <v>50000</v>
      </c>
      <c r="D10" s="94"/>
      <c r="E10" s="153">
        <v>0.01</v>
      </c>
      <c r="F10" s="95">
        <f t="shared" si="1"/>
        <v>25000.005000000001</v>
      </c>
      <c r="G10" s="153"/>
    </row>
    <row r="11" spans="1:7">
      <c r="A11" s="149" t="s">
        <v>549</v>
      </c>
      <c r="B11" s="100" t="s">
        <v>300</v>
      </c>
      <c r="C11" s="94">
        <v>168000</v>
      </c>
      <c r="D11" s="94"/>
      <c r="E11" s="153">
        <v>0.15</v>
      </c>
      <c r="F11" s="95">
        <f t="shared" si="1"/>
        <v>84000.074999999997</v>
      </c>
      <c r="G11" s="153"/>
    </row>
    <row r="12" spans="1:7">
      <c r="A12" s="149" t="s">
        <v>547</v>
      </c>
      <c r="B12" s="4" t="s">
        <v>480</v>
      </c>
      <c r="C12" s="94">
        <v>45000</v>
      </c>
      <c r="D12" s="94"/>
      <c r="E12" s="153">
        <v>0.15</v>
      </c>
      <c r="F12" s="95">
        <f t="shared" si="1"/>
        <v>22500.075000000001</v>
      </c>
      <c r="G12" s="153"/>
    </row>
    <row r="13" spans="1:7">
      <c r="A13" s="149" t="s">
        <v>553</v>
      </c>
      <c r="B13" s="4" t="s">
        <v>480</v>
      </c>
      <c r="C13" s="94">
        <v>35000</v>
      </c>
      <c r="D13" s="94"/>
      <c r="E13" s="153">
        <v>7.0000000000000007E-2</v>
      </c>
      <c r="F13" s="95">
        <f t="shared" si="1"/>
        <v>17500.035</v>
      </c>
      <c r="G13" s="153"/>
    </row>
    <row r="14" spans="1:7">
      <c r="A14" s="149" t="s">
        <v>554</v>
      </c>
      <c r="B14" s="4" t="s">
        <v>480</v>
      </c>
      <c r="C14" s="94">
        <v>55000</v>
      </c>
      <c r="D14" s="94"/>
      <c r="E14" s="153">
        <v>0.01</v>
      </c>
      <c r="F14" s="95">
        <f t="shared" si="1"/>
        <v>27500.005000000001</v>
      </c>
      <c r="G14" s="153"/>
    </row>
    <row r="15" spans="1:7">
      <c r="A15" s="149" t="s">
        <v>116</v>
      </c>
      <c r="B15" s="100" t="s">
        <v>84</v>
      </c>
      <c r="C15" s="94">
        <v>20000</v>
      </c>
      <c r="D15" s="94">
        <v>21000</v>
      </c>
      <c r="E15" s="88"/>
      <c r="F15" s="95">
        <f t="shared" si="1"/>
        <v>20500</v>
      </c>
      <c r="G15" s="153"/>
    </row>
    <row r="16" spans="1:7">
      <c r="A16" s="149" t="s">
        <v>115</v>
      </c>
      <c r="B16" s="100" t="s">
        <v>12</v>
      </c>
      <c r="C16" s="94">
        <v>2100</v>
      </c>
      <c r="D16" s="94">
        <v>2400</v>
      </c>
      <c r="E16" s="88"/>
      <c r="F16" s="95">
        <f t="shared" si="1"/>
        <v>2250</v>
      </c>
      <c r="G16" s="153"/>
    </row>
    <row r="17" spans="1:7">
      <c r="A17" s="129" t="s">
        <v>106</v>
      </c>
      <c r="B17" s="4" t="s">
        <v>84</v>
      </c>
      <c r="C17" s="94">
        <v>100000</v>
      </c>
      <c r="D17" s="94">
        <v>105000</v>
      </c>
      <c r="E17" s="94"/>
      <c r="F17" s="95">
        <f t="shared" si="1"/>
        <v>102500</v>
      </c>
      <c r="G17" s="152"/>
    </row>
    <row r="18" spans="1:7">
      <c r="A18" s="149" t="s">
        <v>122</v>
      </c>
      <c r="B18" s="98">
        <v>0.25</v>
      </c>
      <c r="C18" s="94">
        <v>33600</v>
      </c>
      <c r="D18" s="94">
        <v>34500</v>
      </c>
      <c r="E18" s="88"/>
      <c r="F18" s="95">
        <f t="shared" si="1"/>
        <v>34050</v>
      </c>
      <c r="G18" s="153"/>
    </row>
    <row r="19" spans="1:7">
      <c r="A19" s="129" t="s">
        <v>88</v>
      </c>
      <c r="B19" s="4" t="s">
        <v>84</v>
      </c>
      <c r="C19" s="94">
        <v>12000</v>
      </c>
      <c r="D19" s="94">
        <v>12500</v>
      </c>
      <c r="E19" s="94"/>
      <c r="F19" s="95">
        <f t="shared" si="1"/>
        <v>12250</v>
      </c>
      <c r="G19" s="152"/>
    </row>
    <row r="20" spans="1:7" ht="18" customHeight="1">
      <c r="A20" s="149" t="s">
        <v>117</v>
      </c>
      <c r="B20" s="100" t="s">
        <v>84</v>
      </c>
      <c r="C20" s="94">
        <v>185000</v>
      </c>
      <c r="D20" s="94">
        <v>194000</v>
      </c>
      <c r="E20" s="88"/>
      <c r="F20" s="95">
        <f t="shared" si="1"/>
        <v>189500</v>
      </c>
      <c r="G20" s="153"/>
    </row>
    <row r="21" spans="1:7" ht="31.5" customHeight="1">
      <c r="A21" s="149" t="s">
        <v>120</v>
      </c>
      <c r="B21" s="100" t="s">
        <v>12</v>
      </c>
      <c r="C21" s="94">
        <v>500</v>
      </c>
      <c r="D21" s="94">
        <v>600</v>
      </c>
      <c r="E21" s="88"/>
      <c r="F21" s="95">
        <f t="shared" si="1"/>
        <v>550</v>
      </c>
      <c r="G21" s="153"/>
    </row>
    <row r="22" spans="1:7">
      <c r="A22" s="129" t="s">
        <v>101</v>
      </c>
      <c r="B22" s="4" t="s">
        <v>102</v>
      </c>
      <c r="C22" s="94">
        <v>5500</v>
      </c>
      <c r="D22" s="94">
        <v>5800</v>
      </c>
      <c r="E22" s="94"/>
      <c r="F22" s="95">
        <f t="shared" si="1"/>
        <v>5650</v>
      </c>
      <c r="G22" s="152"/>
    </row>
    <row r="23" spans="1:7">
      <c r="A23" s="150" t="s">
        <v>96</v>
      </c>
      <c r="B23" s="93" t="s">
        <v>11</v>
      </c>
      <c r="C23" s="94"/>
      <c r="D23" s="94"/>
      <c r="E23" s="94">
        <v>75000</v>
      </c>
      <c r="F23" s="95">
        <f t="shared" si="1"/>
        <v>75000</v>
      </c>
      <c r="G23" s="154">
        <v>5</v>
      </c>
    </row>
    <row r="24" spans="1:7">
      <c r="A24" s="149" t="s">
        <v>124</v>
      </c>
      <c r="B24" s="100" t="s">
        <v>84</v>
      </c>
      <c r="C24" s="94">
        <v>6000</v>
      </c>
      <c r="D24" s="94">
        <v>6800</v>
      </c>
      <c r="E24" s="88"/>
      <c r="F24" s="95">
        <f t="shared" si="1"/>
        <v>6400</v>
      </c>
      <c r="G24" s="153"/>
    </row>
    <row r="25" spans="1:7">
      <c r="A25" s="149" t="s">
        <v>121</v>
      </c>
      <c r="B25" s="98">
        <v>0.25</v>
      </c>
      <c r="C25" s="94">
        <v>99000</v>
      </c>
      <c r="D25" s="94">
        <v>102000</v>
      </c>
      <c r="E25" s="88"/>
      <c r="F25" s="95">
        <f t="shared" si="1"/>
        <v>100500</v>
      </c>
      <c r="G25" s="153"/>
    </row>
    <row r="26" spans="1:7">
      <c r="A26" s="129" t="s">
        <v>104</v>
      </c>
      <c r="B26" s="4" t="s">
        <v>105</v>
      </c>
      <c r="C26" s="94">
        <v>285600</v>
      </c>
      <c r="D26" s="94">
        <v>295000</v>
      </c>
      <c r="E26" s="94"/>
      <c r="F26" s="95">
        <f t="shared" si="1"/>
        <v>290300</v>
      </c>
      <c r="G26" s="152"/>
    </row>
    <row r="27" spans="1:7">
      <c r="A27" s="150" t="s">
        <v>100</v>
      </c>
      <c r="B27" s="93" t="s">
        <v>11</v>
      </c>
      <c r="C27" s="94"/>
      <c r="D27" s="94"/>
      <c r="E27" s="94">
        <v>69187</v>
      </c>
      <c r="F27" s="95">
        <f t="shared" si="1"/>
        <v>69187</v>
      </c>
      <c r="G27" s="154">
        <v>120</v>
      </c>
    </row>
    <row r="28" spans="1:7" ht="22.5" customHeight="1">
      <c r="A28" s="129" t="s">
        <v>108</v>
      </c>
      <c r="B28" s="4" t="s">
        <v>84</v>
      </c>
      <c r="C28" s="94">
        <v>20000</v>
      </c>
      <c r="D28" s="94">
        <v>2200</v>
      </c>
      <c r="E28" s="94"/>
      <c r="F28" s="95">
        <f t="shared" si="1"/>
        <v>11100</v>
      </c>
      <c r="G28" s="152"/>
    </row>
    <row r="29" spans="1:7" ht="22.5" customHeight="1">
      <c r="A29" s="149" t="s">
        <v>123</v>
      </c>
      <c r="B29" s="100" t="s">
        <v>84</v>
      </c>
      <c r="C29" s="94">
        <v>28000</v>
      </c>
      <c r="D29" s="94">
        <v>29200</v>
      </c>
      <c r="E29" s="88"/>
      <c r="F29" s="95">
        <f t="shared" si="1"/>
        <v>28600</v>
      </c>
      <c r="G29" s="153"/>
    </row>
    <row r="30" spans="1:7" ht="22.5" customHeight="1">
      <c r="A30" s="129" t="s">
        <v>107</v>
      </c>
      <c r="B30" s="4" t="s">
        <v>84</v>
      </c>
      <c r="C30" s="94">
        <v>89999</v>
      </c>
      <c r="D30" s="94">
        <v>94500</v>
      </c>
      <c r="E30" s="94"/>
      <c r="F30" s="95">
        <f t="shared" si="1"/>
        <v>92249.5</v>
      </c>
      <c r="G30" s="152"/>
    </row>
    <row r="31" spans="1:7" ht="19.5" customHeight="1">
      <c r="A31" s="149" t="s">
        <v>134</v>
      </c>
      <c r="B31" s="4" t="s">
        <v>84</v>
      </c>
      <c r="C31" s="94">
        <v>1000</v>
      </c>
      <c r="D31" s="94">
        <v>1100</v>
      </c>
      <c r="E31" s="88"/>
      <c r="F31" s="95">
        <f t="shared" si="1"/>
        <v>1050</v>
      </c>
      <c r="G31" s="153"/>
    </row>
    <row r="32" spans="1:7">
      <c r="A32" s="149" t="s">
        <v>112</v>
      </c>
      <c r="B32" s="100" t="s">
        <v>113</v>
      </c>
      <c r="C32" s="94">
        <v>50000</v>
      </c>
      <c r="D32" s="94">
        <v>65000</v>
      </c>
      <c r="E32" s="88"/>
      <c r="F32" s="95">
        <f t="shared" si="1"/>
        <v>57500</v>
      </c>
      <c r="G32" s="153"/>
    </row>
    <row r="33" spans="1:7">
      <c r="A33" s="149" t="s">
        <v>125</v>
      </c>
      <c r="B33" s="100" t="s">
        <v>84</v>
      </c>
      <c r="C33" s="94">
        <v>13500</v>
      </c>
      <c r="D33" s="94">
        <v>13900</v>
      </c>
      <c r="E33" s="88"/>
      <c r="F33" s="95">
        <f t="shared" si="1"/>
        <v>13700</v>
      </c>
      <c r="G33" s="153"/>
    </row>
    <row r="34" spans="1:7">
      <c r="A34" s="149" t="s">
        <v>129</v>
      </c>
      <c r="B34" s="88" t="s">
        <v>9</v>
      </c>
      <c r="C34" s="94">
        <v>128205</v>
      </c>
      <c r="D34" s="94">
        <v>135000</v>
      </c>
      <c r="E34" s="88"/>
      <c r="F34" s="95">
        <f t="shared" si="1"/>
        <v>131602.5</v>
      </c>
      <c r="G34" s="153"/>
    </row>
    <row r="35" spans="1:7" ht="32.25" customHeight="1">
      <c r="A35" s="151" t="s">
        <v>131</v>
      </c>
      <c r="B35" s="88" t="s">
        <v>132</v>
      </c>
      <c r="C35" s="88"/>
      <c r="D35" s="94">
        <v>217900</v>
      </c>
      <c r="E35" s="88"/>
      <c r="F35" s="95">
        <f t="shared" si="1"/>
        <v>217900</v>
      </c>
      <c r="G35" s="153">
        <v>193</v>
      </c>
    </row>
    <row r="36" spans="1:7">
      <c r="A36" s="149" t="s">
        <v>135</v>
      </c>
      <c r="B36" s="88" t="s">
        <v>9</v>
      </c>
      <c r="C36" s="88"/>
      <c r="D36" s="94">
        <v>222222</v>
      </c>
      <c r="E36" s="88"/>
      <c r="F36" s="95">
        <f t="shared" si="1"/>
        <v>222222</v>
      </c>
      <c r="G36" s="153"/>
    </row>
    <row r="37" spans="1:7">
      <c r="A37" s="149" t="s">
        <v>130</v>
      </c>
      <c r="B37" s="88" t="s">
        <v>10</v>
      </c>
      <c r="C37" s="88"/>
      <c r="D37" s="94">
        <v>200000</v>
      </c>
      <c r="E37" s="88"/>
      <c r="F37" s="95">
        <f t="shared" si="1"/>
        <v>200000</v>
      </c>
      <c r="G37" s="153"/>
    </row>
    <row r="38" spans="1:7">
      <c r="A38" s="159" t="s">
        <v>136</v>
      </c>
      <c r="B38" s="160" t="s">
        <v>84</v>
      </c>
      <c r="C38" s="160"/>
      <c r="D38" s="161">
        <v>250000</v>
      </c>
      <c r="E38" s="160"/>
      <c r="F38" s="162">
        <f t="shared" si="1"/>
        <v>250000</v>
      </c>
      <c r="G38" s="163"/>
    </row>
    <row r="39" spans="1:7">
      <c r="A39" s="89"/>
      <c r="B39" s="89"/>
      <c r="C39" s="89"/>
      <c r="D39" s="89"/>
      <c r="E39" s="89"/>
      <c r="F39" s="89"/>
      <c r="G39" s="89"/>
    </row>
    <row r="40" spans="1:7">
      <c r="A40" s="89"/>
      <c r="B40" s="89"/>
      <c r="C40" s="89"/>
      <c r="D40" s="89"/>
      <c r="E40" s="89"/>
      <c r="F40" s="89"/>
      <c r="G40" s="89"/>
    </row>
    <row r="41" spans="1:7">
      <c r="A41" s="89"/>
      <c r="B41" s="89"/>
      <c r="C41" s="89"/>
      <c r="D41" s="89"/>
      <c r="E41" s="89"/>
      <c r="F41" s="89"/>
      <c r="G41" s="89"/>
    </row>
    <row r="42" spans="1:7">
      <c r="A42" s="89"/>
      <c r="B42" s="89"/>
      <c r="C42" s="89"/>
      <c r="D42" s="89"/>
      <c r="E42" s="89"/>
      <c r="F42" s="89"/>
      <c r="G42" s="89"/>
    </row>
    <row r="43" spans="1:7">
      <c r="A43" s="89"/>
      <c r="B43" s="89"/>
      <c r="C43" s="89"/>
      <c r="D43" s="89"/>
      <c r="E43" s="89"/>
      <c r="F43" s="89"/>
      <c r="G43" s="89"/>
    </row>
    <row r="44" spans="1:7">
      <c r="A44" s="89"/>
      <c r="B44" s="89"/>
      <c r="C44" s="89"/>
      <c r="D44" s="89"/>
      <c r="E44" s="89"/>
      <c r="F44" s="89"/>
      <c r="G44" s="89"/>
    </row>
    <row r="45" spans="1:7">
      <c r="A45" s="89"/>
      <c r="B45" s="89"/>
      <c r="C45" s="89"/>
      <c r="D45" s="89"/>
      <c r="E45" s="89"/>
      <c r="F45" s="89"/>
      <c r="G45" s="89"/>
    </row>
    <row r="46" spans="1:7">
      <c r="A46" s="89"/>
      <c r="B46" s="89"/>
      <c r="C46" s="89"/>
      <c r="D46" s="89"/>
      <c r="E46" s="89"/>
      <c r="F46" s="89"/>
      <c r="G46" s="89"/>
    </row>
    <row r="47" spans="1:7">
      <c r="A47" s="89"/>
      <c r="B47" s="89"/>
      <c r="C47" s="89"/>
      <c r="D47" s="89"/>
      <c r="E47" s="89"/>
      <c r="F47" s="89"/>
      <c r="G47" s="89"/>
    </row>
    <row r="48" spans="1:7">
      <c r="A48" s="89"/>
      <c r="B48" s="89"/>
      <c r="C48" s="89"/>
      <c r="D48" s="89"/>
      <c r="E48" s="89"/>
      <c r="F48" s="89"/>
      <c r="G48" s="89"/>
    </row>
    <row r="49" spans="1:7">
      <c r="A49" s="89"/>
      <c r="B49" s="89"/>
      <c r="C49" s="89"/>
      <c r="D49" s="89"/>
      <c r="E49" s="89"/>
      <c r="F49" s="89"/>
      <c r="G49" s="89"/>
    </row>
    <row r="50" spans="1:7">
      <c r="A50" s="89"/>
      <c r="B50" s="89"/>
      <c r="C50" s="89"/>
      <c r="D50" s="89"/>
      <c r="E50" s="89"/>
      <c r="F50" s="89"/>
      <c r="G50" s="89"/>
    </row>
    <row r="51" spans="1:7">
      <c r="A51" s="89"/>
      <c r="B51" s="89"/>
      <c r="C51" s="89"/>
      <c r="D51" s="89"/>
      <c r="E51" s="89"/>
      <c r="F51" s="89"/>
      <c r="G51" s="89"/>
    </row>
    <row r="52" spans="1:7" ht="33" customHeight="1">
      <c r="A52" s="89"/>
      <c r="B52" s="89"/>
      <c r="C52" s="89"/>
      <c r="D52" s="89"/>
      <c r="E52" s="89"/>
      <c r="F52" s="89"/>
      <c r="G52" s="89"/>
    </row>
    <row r="53" spans="1:7">
      <c r="A53" s="89"/>
      <c r="B53" s="89"/>
      <c r="C53" s="89"/>
      <c r="D53" s="89"/>
      <c r="E53" s="89"/>
      <c r="F53" s="89"/>
      <c r="G53" s="89"/>
    </row>
    <row r="54" spans="1:7">
      <c r="A54" s="89"/>
      <c r="B54" s="89"/>
      <c r="C54" s="89"/>
      <c r="D54" s="89"/>
      <c r="E54" s="89"/>
      <c r="F54" s="89"/>
      <c r="G54" s="89"/>
    </row>
    <row r="55" spans="1:7">
      <c r="A55" s="89"/>
      <c r="B55" s="89"/>
      <c r="C55" s="89"/>
      <c r="D55" s="89"/>
      <c r="E55" s="89"/>
      <c r="F55" s="89"/>
      <c r="G55" s="89"/>
    </row>
    <row r="56" spans="1:7">
      <c r="A56" s="89"/>
      <c r="B56" s="89"/>
      <c r="C56" s="89"/>
      <c r="D56" s="89"/>
      <c r="E56" s="89"/>
      <c r="F56" s="89"/>
      <c r="G56" s="89"/>
    </row>
    <row r="57" spans="1:7">
      <c r="A57" s="89"/>
      <c r="B57" s="89"/>
      <c r="C57" s="89"/>
      <c r="D57" s="89"/>
      <c r="E57" s="89"/>
      <c r="F57" s="89"/>
      <c r="G57" s="89"/>
    </row>
    <row r="58" spans="1:7" ht="24" customHeight="1">
      <c r="A58" s="89"/>
      <c r="B58" s="89"/>
      <c r="C58" s="89"/>
      <c r="D58" s="89"/>
      <c r="E58" s="89"/>
      <c r="F58" s="89"/>
      <c r="G58" s="89"/>
    </row>
    <row r="59" spans="1:7">
      <c r="A59" s="89"/>
      <c r="B59" s="89"/>
      <c r="C59" s="89"/>
      <c r="D59" s="89"/>
      <c r="E59" s="89"/>
      <c r="F59" s="89"/>
      <c r="G59" s="89"/>
    </row>
    <row r="60" spans="1:7">
      <c r="A60" s="89"/>
      <c r="B60" s="89"/>
      <c r="C60" s="89"/>
      <c r="D60" s="89"/>
      <c r="E60" s="89"/>
      <c r="F60" s="89"/>
      <c r="G60" s="89"/>
    </row>
    <row r="61" spans="1:7">
      <c r="A61" s="89"/>
      <c r="B61" s="89"/>
      <c r="C61" s="89"/>
      <c r="D61" s="89"/>
      <c r="E61" s="89"/>
      <c r="F61" s="89"/>
      <c r="G61" s="89"/>
    </row>
    <row r="62" spans="1:7">
      <c r="A62" s="89"/>
      <c r="B62" s="89"/>
      <c r="C62" s="89"/>
      <c r="D62" s="89"/>
      <c r="E62" s="89"/>
      <c r="F62" s="89"/>
      <c r="G62" s="89"/>
    </row>
    <row r="63" spans="1:7">
      <c r="A63" s="89"/>
      <c r="B63" s="89"/>
      <c r="C63" s="89"/>
      <c r="D63" s="89"/>
      <c r="E63" s="89"/>
      <c r="F63" s="89"/>
      <c r="G63" s="89"/>
    </row>
    <row r="64" spans="1:7">
      <c r="A64" s="89"/>
      <c r="B64" s="89"/>
      <c r="C64" s="89"/>
      <c r="D64" s="89"/>
      <c r="E64" s="89"/>
      <c r="F64" s="89"/>
      <c r="G64" s="89"/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767D7-4973-4033-9D74-B88A2C6F4C92}">
  <dimension ref="A1:G64"/>
  <sheetViews>
    <sheetView workbookViewId="0">
      <selection activeCell="A11" sqref="A11"/>
    </sheetView>
  </sheetViews>
  <sheetFormatPr baseColWidth="10" defaultRowHeight="14.4"/>
  <cols>
    <col min="1" max="1" width="51.5546875" customWidth="1"/>
    <col min="3" max="3" width="15.5546875" style="140" customWidth="1"/>
    <col min="4" max="7" width="15.21875" customWidth="1"/>
  </cols>
  <sheetData>
    <row r="1" spans="1:7" ht="17.25" customHeight="1">
      <c r="A1" s="90" t="s">
        <v>97</v>
      </c>
      <c r="B1" s="91" t="s">
        <v>28</v>
      </c>
      <c r="C1" s="136" t="s">
        <v>306</v>
      </c>
      <c r="D1" s="136" t="s">
        <v>301</v>
      </c>
      <c r="E1" s="136" t="s">
        <v>307</v>
      </c>
      <c r="F1" s="136" t="s">
        <v>30</v>
      </c>
      <c r="G1" s="136" t="s">
        <v>39</v>
      </c>
    </row>
    <row r="2" spans="1:7">
      <c r="A2" s="99" t="s">
        <v>309</v>
      </c>
      <c r="B2" s="4" t="s">
        <v>305</v>
      </c>
      <c r="C2" s="137">
        <v>5</v>
      </c>
      <c r="D2" s="166">
        <v>1800</v>
      </c>
      <c r="E2" s="137">
        <v>1.3</v>
      </c>
      <c r="F2" s="137"/>
      <c r="G2" s="143"/>
    </row>
    <row r="3" spans="1:7">
      <c r="A3" s="101" t="s">
        <v>324</v>
      </c>
      <c r="B3" s="93" t="s">
        <v>305</v>
      </c>
      <c r="C3" s="137">
        <v>125</v>
      </c>
      <c r="D3" s="170">
        <v>1800</v>
      </c>
      <c r="E3" s="138">
        <v>1.1000000000000001</v>
      </c>
      <c r="F3" s="137"/>
      <c r="G3" s="88"/>
    </row>
    <row r="4" spans="1:7">
      <c r="A4" s="135" t="s">
        <v>323</v>
      </c>
      <c r="B4" s="4" t="s">
        <v>322</v>
      </c>
      <c r="C4" s="137">
        <v>195</v>
      </c>
      <c r="D4" s="94">
        <v>5</v>
      </c>
      <c r="E4" s="137">
        <v>1</v>
      </c>
      <c r="F4" s="95"/>
      <c r="G4" s="97"/>
    </row>
    <row r="5" spans="1:7">
      <c r="A5" s="135" t="s">
        <v>333</v>
      </c>
      <c r="B5" s="4" t="s">
        <v>322</v>
      </c>
      <c r="C5" s="137">
        <v>195</v>
      </c>
      <c r="D5" s="94">
        <v>5</v>
      </c>
      <c r="E5" s="137">
        <v>1</v>
      </c>
      <c r="F5" s="95"/>
      <c r="G5" s="96"/>
    </row>
    <row r="6" spans="1:7">
      <c r="A6" s="135" t="s">
        <v>339</v>
      </c>
      <c r="B6" s="100" t="s">
        <v>340</v>
      </c>
      <c r="C6" s="137">
        <v>195</v>
      </c>
      <c r="D6" s="94">
        <v>2</v>
      </c>
      <c r="E6" s="138">
        <v>1</v>
      </c>
      <c r="F6" s="95"/>
      <c r="G6" s="88"/>
    </row>
    <row r="7" spans="1:7">
      <c r="A7" s="88" t="s">
        <v>576</v>
      </c>
      <c r="B7" s="100" t="s">
        <v>577</v>
      </c>
      <c r="C7" s="137">
        <v>195</v>
      </c>
      <c r="D7" s="94">
        <v>1800</v>
      </c>
      <c r="E7" s="376">
        <v>1</v>
      </c>
      <c r="F7" s="95"/>
      <c r="G7" s="88"/>
    </row>
    <row r="8" spans="1:7">
      <c r="A8" s="101" t="s">
        <v>548</v>
      </c>
      <c r="B8" s="93" t="s">
        <v>305</v>
      </c>
      <c r="C8" s="137">
        <v>10</v>
      </c>
      <c r="D8" s="170">
        <v>1800</v>
      </c>
      <c r="E8" s="372">
        <v>1.3</v>
      </c>
      <c r="F8" s="95"/>
      <c r="G8" s="96"/>
    </row>
    <row r="9" spans="1:7" ht="17.25" customHeight="1">
      <c r="A9" s="88" t="s">
        <v>578</v>
      </c>
      <c r="B9" s="100" t="s">
        <v>579</v>
      </c>
      <c r="C9" s="137">
        <v>50</v>
      </c>
      <c r="D9" s="94">
        <v>200</v>
      </c>
      <c r="E9" s="88">
        <v>1</v>
      </c>
      <c r="F9" s="95"/>
      <c r="G9" s="88"/>
    </row>
    <row r="10" spans="1:7" ht="21" customHeight="1">
      <c r="A10" s="88"/>
      <c r="B10" s="100"/>
      <c r="C10" s="137"/>
      <c r="D10" s="94"/>
      <c r="E10" s="88"/>
      <c r="F10" s="95"/>
      <c r="G10" s="88"/>
    </row>
    <row r="11" spans="1:7">
      <c r="A11" s="88"/>
      <c r="B11" s="100"/>
      <c r="C11" s="137"/>
      <c r="D11" s="94"/>
      <c r="E11" s="88"/>
      <c r="F11" s="95"/>
      <c r="G11" s="88"/>
    </row>
    <row r="12" spans="1:7">
      <c r="A12" s="88"/>
      <c r="B12" s="4"/>
      <c r="C12" s="137"/>
      <c r="D12" s="94"/>
      <c r="E12" s="88"/>
      <c r="F12" s="95"/>
      <c r="G12" s="88"/>
    </row>
    <row r="13" spans="1:7">
      <c r="A13" s="88"/>
      <c r="B13" s="4"/>
      <c r="C13" s="137"/>
      <c r="D13" s="94"/>
      <c r="E13" s="88"/>
      <c r="F13" s="95"/>
      <c r="G13" s="88"/>
    </row>
    <row r="14" spans="1:7">
      <c r="A14" s="88" t="s">
        <v>133</v>
      </c>
      <c r="B14" s="4" t="s">
        <v>84</v>
      </c>
      <c r="C14" s="137">
        <v>11999</v>
      </c>
      <c r="D14" s="94">
        <v>12200</v>
      </c>
      <c r="E14" s="88"/>
      <c r="F14" s="95">
        <f t="shared" ref="F14:F38" si="0">+AVERAGE(C14:E14)</f>
        <v>12099.5</v>
      </c>
      <c r="G14" s="88"/>
    </row>
    <row r="15" spans="1:7">
      <c r="A15" s="88" t="s">
        <v>116</v>
      </c>
      <c r="B15" s="100" t="s">
        <v>84</v>
      </c>
      <c r="C15" s="137">
        <v>20000</v>
      </c>
      <c r="D15" s="94">
        <v>21000</v>
      </c>
      <c r="E15" s="88"/>
      <c r="F15" s="95">
        <f t="shared" si="0"/>
        <v>20500</v>
      </c>
      <c r="G15" s="88"/>
    </row>
    <row r="16" spans="1:7">
      <c r="A16" s="88" t="s">
        <v>115</v>
      </c>
      <c r="B16" s="100" t="s">
        <v>12</v>
      </c>
      <c r="C16" s="137">
        <v>2100</v>
      </c>
      <c r="D16" s="94">
        <v>2400</v>
      </c>
      <c r="E16" s="88"/>
      <c r="F16" s="95">
        <f t="shared" si="0"/>
        <v>2250</v>
      </c>
      <c r="G16" s="88"/>
    </row>
    <row r="17" spans="1:7">
      <c r="A17" s="99" t="s">
        <v>106</v>
      </c>
      <c r="B17" s="4" t="s">
        <v>84</v>
      </c>
      <c r="C17" s="137">
        <v>100000</v>
      </c>
      <c r="D17" s="94">
        <v>105000</v>
      </c>
      <c r="E17" s="94"/>
      <c r="F17" s="95">
        <f t="shared" si="0"/>
        <v>102500</v>
      </c>
      <c r="G17" s="97"/>
    </row>
    <row r="18" spans="1:7">
      <c r="A18" s="88" t="s">
        <v>122</v>
      </c>
      <c r="B18" s="98">
        <v>0.25</v>
      </c>
      <c r="C18" s="137">
        <v>33600</v>
      </c>
      <c r="D18" s="94">
        <v>34500</v>
      </c>
      <c r="E18" s="88"/>
      <c r="F18" s="95">
        <f t="shared" si="0"/>
        <v>34050</v>
      </c>
      <c r="G18" s="88"/>
    </row>
    <row r="19" spans="1:7">
      <c r="A19" s="99" t="s">
        <v>88</v>
      </c>
      <c r="B19" s="4" t="s">
        <v>84</v>
      </c>
      <c r="C19" s="137">
        <v>12000</v>
      </c>
      <c r="D19" s="94">
        <v>12500</v>
      </c>
      <c r="E19" s="94"/>
      <c r="F19" s="95">
        <f t="shared" si="0"/>
        <v>12250</v>
      </c>
      <c r="G19" s="97"/>
    </row>
    <row r="20" spans="1:7" ht="18" customHeight="1">
      <c r="A20" s="88" t="s">
        <v>117</v>
      </c>
      <c r="B20" s="100" t="s">
        <v>84</v>
      </c>
      <c r="C20" s="137">
        <v>185000</v>
      </c>
      <c r="D20" s="94">
        <v>194000</v>
      </c>
      <c r="E20" s="88"/>
      <c r="F20" s="95">
        <f t="shared" si="0"/>
        <v>189500</v>
      </c>
      <c r="G20" s="88"/>
    </row>
    <row r="21" spans="1:7" ht="31.5" customHeight="1">
      <c r="A21" s="88" t="s">
        <v>120</v>
      </c>
      <c r="B21" s="100" t="s">
        <v>12</v>
      </c>
      <c r="C21" s="137">
        <v>500</v>
      </c>
      <c r="D21" s="94">
        <v>600</v>
      </c>
      <c r="E21" s="88"/>
      <c r="F21" s="95">
        <f t="shared" si="0"/>
        <v>550</v>
      </c>
      <c r="G21" s="88"/>
    </row>
    <row r="22" spans="1:7">
      <c r="A22" s="99" t="s">
        <v>101</v>
      </c>
      <c r="B22" s="4" t="s">
        <v>102</v>
      </c>
      <c r="C22" s="137">
        <v>5500</v>
      </c>
      <c r="D22" s="94">
        <v>5800</v>
      </c>
      <c r="E22" s="94"/>
      <c r="F22" s="95">
        <f t="shared" si="0"/>
        <v>5650</v>
      </c>
      <c r="G22" s="97"/>
    </row>
    <row r="23" spans="1:7">
      <c r="A23" s="92" t="s">
        <v>96</v>
      </c>
      <c r="B23" s="93" t="s">
        <v>11</v>
      </c>
      <c r="C23" s="137"/>
      <c r="D23" s="94"/>
      <c r="E23" s="94">
        <v>75000</v>
      </c>
      <c r="F23" s="95">
        <f t="shared" si="0"/>
        <v>75000</v>
      </c>
      <c r="G23" s="96">
        <v>5</v>
      </c>
    </row>
    <row r="24" spans="1:7">
      <c r="A24" s="88" t="s">
        <v>124</v>
      </c>
      <c r="B24" s="100" t="s">
        <v>84</v>
      </c>
      <c r="C24" s="137">
        <v>6000</v>
      </c>
      <c r="D24" s="94">
        <v>6800</v>
      </c>
      <c r="E24" s="88"/>
      <c r="F24" s="95">
        <f t="shared" si="0"/>
        <v>6400</v>
      </c>
      <c r="G24" s="88"/>
    </row>
    <row r="25" spans="1:7">
      <c r="A25" s="88" t="s">
        <v>121</v>
      </c>
      <c r="B25" s="98">
        <v>0.25</v>
      </c>
      <c r="C25" s="137">
        <v>99000</v>
      </c>
      <c r="D25" s="94">
        <v>102000</v>
      </c>
      <c r="E25" s="88"/>
      <c r="F25" s="95">
        <f t="shared" si="0"/>
        <v>100500</v>
      </c>
      <c r="G25" s="88"/>
    </row>
    <row r="26" spans="1:7">
      <c r="A26" s="99" t="s">
        <v>104</v>
      </c>
      <c r="B26" s="4" t="s">
        <v>105</v>
      </c>
      <c r="C26" s="137">
        <v>285600</v>
      </c>
      <c r="D26" s="94">
        <v>295000</v>
      </c>
      <c r="E26" s="94"/>
      <c r="F26" s="95">
        <f t="shared" si="0"/>
        <v>290300</v>
      </c>
      <c r="G26" s="97"/>
    </row>
    <row r="27" spans="1:7">
      <c r="A27" s="92" t="s">
        <v>100</v>
      </c>
      <c r="B27" s="93" t="s">
        <v>11</v>
      </c>
      <c r="C27" s="137"/>
      <c r="D27" s="94"/>
      <c r="E27" s="94">
        <v>69187</v>
      </c>
      <c r="F27" s="95">
        <f t="shared" si="0"/>
        <v>69187</v>
      </c>
      <c r="G27" s="96">
        <v>120</v>
      </c>
    </row>
    <row r="28" spans="1:7" ht="22.5" customHeight="1">
      <c r="A28" s="99" t="s">
        <v>108</v>
      </c>
      <c r="B28" s="4" t="s">
        <v>84</v>
      </c>
      <c r="C28" s="137">
        <v>20000</v>
      </c>
      <c r="D28" s="94">
        <v>2200</v>
      </c>
      <c r="E28" s="94"/>
      <c r="F28" s="95">
        <f t="shared" si="0"/>
        <v>11100</v>
      </c>
      <c r="G28" s="97"/>
    </row>
    <row r="29" spans="1:7" ht="22.5" customHeight="1">
      <c r="A29" s="88" t="s">
        <v>123</v>
      </c>
      <c r="B29" s="100" t="s">
        <v>84</v>
      </c>
      <c r="C29" s="137">
        <v>28000</v>
      </c>
      <c r="D29" s="94">
        <v>29200</v>
      </c>
      <c r="E29" s="88"/>
      <c r="F29" s="95">
        <f t="shared" si="0"/>
        <v>28600</v>
      </c>
      <c r="G29" s="88"/>
    </row>
    <row r="30" spans="1:7" ht="22.5" customHeight="1">
      <c r="A30" s="99" t="s">
        <v>107</v>
      </c>
      <c r="B30" s="4" t="s">
        <v>84</v>
      </c>
      <c r="C30" s="137">
        <v>89999</v>
      </c>
      <c r="D30" s="94">
        <v>94500</v>
      </c>
      <c r="E30" s="94"/>
      <c r="F30" s="95">
        <f t="shared" si="0"/>
        <v>92249.5</v>
      </c>
      <c r="G30" s="97"/>
    </row>
    <row r="31" spans="1:7" ht="19.5" customHeight="1">
      <c r="A31" s="88" t="s">
        <v>134</v>
      </c>
      <c r="B31" s="4" t="s">
        <v>84</v>
      </c>
      <c r="C31" s="137">
        <v>1000</v>
      </c>
      <c r="D31" s="94">
        <v>1100</v>
      </c>
      <c r="E31" s="88"/>
      <c r="F31" s="95">
        <f t="shared" si="0"/>
        <v>1050</v>
      </c>
      <c r="G31" s="88"/>
    </row>
    <row r="32" spans="1:7">
      <c r="A32" s="88" t="s">
        <v>112</v>
      </c>
      <c r="B32" s="100" t="s">
        <v>113</v>
      </c>
      <c r="C32" s="137">
        <v>50000</v>
      </c>
      <c r="D32" s="94">
        <v>65000</v>
      </c>
      <c r="E32" s="88"/>
      <c r="F32" s="95">
        <f t="shared" si="0"/>
        <v>57500</v>
      </c>
      <c r="G32" s="88"/>
    </row>
    <row r="33" spans="1:7">
      <c r="A33" s="88" t="s">
        <v>125</v>
      </c>
      <c r="B33" s="100" t="s">
        <v>84</v>
      </c>
      <c r="C33" s="137">
        <v>13500</v>
      </c>
      <c r="D33" s="94">
        <v>13900</v>
      </c>
      <c r="E33" s="88"/>
      <c r="F33" s="95">
        <f t="shared" si="0"/>
        <v>13700</v>
      </c>
      <c r="G33" s="88"/>
    </row>
    <row r="34" spans="1:7">
      <c r="A34" s="88" t="s">
        <v>129</v>
      </c>
      <c r="B34" s="88" t="s">
        <v>9</v>
      </c>
      <c r="C34" s="137">
        <v>128205</v>
      </c>
      <c r="D34" s="94">
        <v>135000</v>
      </c>
      <c r="E34" s="88"/>
      <c r="F34" s="95">
        <f t="shared" si="0"/>
        <v>131602.5</v>
      </c>
      <c r="G34" s="88"/>
    </row>
    <row r="35" spans="1:7" ht="32.25" customHeight="1">
      <c r="A35" s="101" t="s">
        <v>131</v>
      </c>
      <c r="B35" s="88" t="s">
        <v>132</v>
      </c>
      <c r="C35" s="138"/>
      <c r="D35" s="94">
        <v>217900</v>
      </c>
      <c r="E35" s="88"/>
      <c r="F35" s="95">
        <f t="shared" si="0"/>
        <v>217900</v>
      </c>
      <c r="G35" s="88">
        <v>193</v>
      </c>
    </row>
    <row r="36" spans="1:7">
      <c r="A36" s="88" t="s">
        <v>135</v>
      </c>
      <c r="B36" s="88" t="s">
        <v>9</v>
      </c>
      <c r="C36" s="138"/>
      <c r="D36" s="94">
        <v>222222</v>
      </c>
      <c r="E36" s="88"/>
      <c r="F36" s="95">
        <f t="shared" si="0"/>
        <v>222222</v>
      </c>
      <c r="G36" s="88"/>
    </row>
    <row r="37" spans="1:7">
      <c r="A37" s="88" t="s">
        <v>130</v>
      </c>
      <c r="B37" s="88" t="s">
        <v>10</v>
      </c>
      <c r="C37" s="138"/>
      <c r="D37" s="94">
        <v>200000</v>
      </c>
      <c r="E37" s="88"/>
      <c r="F37" s="95">
        <f t="shared" si="0"/>
        <v>200000</v>
      </c>
      <c r="G37" s="88"/>
    </row>
    <row r="38" spans="1:7">
      <c r="A38" s="88" t="s">
        <v>136</v>
      </c>
      <c r="B38" s="88" t="s">
        <v>84</v>
      </c>
      <c r="C38" s="138"/>
      <c r="D38" s="94">
        <v>250000</v>
      </c>
      <c r="E38" s="88"/>
      <c r="F38" s="95">
        <f t="shared" si="0"/>
        <v>250000</v>
      </c>
      <c r="G38" s="88"/>
    </row>
    <row r="39" spans="1:7">
      <c r="A39" s="89"/>
      <c r="B39" s="89"/>
      <c r="C39" s="139"/>
      <c r="D39" s="89"/>
      <c r="E39" s="89"/>
      <c r="F39" s="89"/>
      <c r="G39" s="89"/>
    </row>
    <row r="40" spans="1:7">
      <c r="A40" s="89"/>
      <c r="B40" s="89"/>
      <c r="C40" s="139"/>
      <c r="D40" s="89"/>
      <c r="E40" s="89"/>
      <c r="F40" s="89"/>
      <c r="G40" s="89"/>
    </row>
    <row r="41" spans="1:7">
      <c r="A41" s="89"/>
      <c r="B41" s="89"/>
      <c r="C41" s="139"/>
      <c r="D41" s="89"/>
      <c r="E41" s="89"/>
      <c r="F41" s="89"/>
      <c r="G41" s="89"/>
    </row>
    <row r="42" spans="1:7">
      <c r="A42" s="89"/>
      <c r="B42" s="89"/>
      <c r="C42" s="139"/>
      <c r="D42" s="89"/>
      <c r="E42" s="89"/>
      <c r="F42" s="89"/>
      <c r="G42" s="89"/>
    </row>
    <row r="43" spans="1:7">
      <c r="A43" s="89"/>
      <c r="B43" s="89"/>
      <c r="C43" s="139"/>
      <c r="D43" s="89"/>
      <c r="E43" s="89"/>
      <c r="F43" s="89"/>
      <c r="G43" s="89"/>
    </row>
    <row r="44" spans="1:7">
      <c r="A44" s="89"/>
      <c r="B44" s="89"/>
      <c r="C44" s="139"/>
      <c r="D44" s="89"/>
      <c r="E44" s="89"/>
      <c r="F44" s="89"/>
      <c r="G44" s="89"/>
    </row>
    <row r="45" spans="1:7">
      <c r="A45" s="89"/>
      <c r="B45" s="89"/>
      <c r="C45" s="139"/>
      <c r="D45" s="89"/>
      <c r="E45" s="89"/>
      <c r="F45" s="89"/>
      <c r="G45" s="89"/>
    </row>
    <row r="46" spans="1:7">
      <c r="A46" s="89"/>
      <c r="B46" s="89"/>
      <c r="C46" s="139"/>
      <c r="D46" s="89"/>
      <c r="E46" s="89"/>
      <c r="F46" s="89"/>
      <c r="G46" s="89"/>
    </row>
    <row r="47" spans="1:7">
      <c r="A47" s="89"/>
      <c r="B47" s="89"/>
      <c r="C47" s="139"/>
      <c r="D47" s="89"/>
      <c r="E47" s="89"/>
      <c r="F47" s="89"/>
      <c r="G47" s="89"/>
    </row>
    <row r="48" spans="1:7">
      <c r="A48" s="89"/>
      <c r="B48" s="89"/>
      <c r="C48" s="139"/>
      <c r="D48" s="89"/>
      <c r="E48" s="89"/>
      <c r="F48" s="89"/>
      <c r="G48" s="89"/>
    </row>
    <row r="49" spans="1:7">
      <c r="A49" s="89"/>
      <c r="B49" s="89"/>
      <c r="C49" s="139"/>
      <c r="D49" s="89"/>
      <c r="E49" s="89"/>
      <c r="F49" s="89"/>
      <c r="G49" s="89"/>
    </row>
    <row r="50" spans="1:7">
      <c r="A50" s="89"/>
      <c r="B50" s="89"/>
      <c r="C50" s="139"/>
      <c r="D50" s="89"/>
      <c r="E50" s="89"/>
      <c r="F50" s="89"/>
      <c r="G50" s="89"/>
    </row>
    <row r="51" spans="1:7">
      <c r="A51" s="89"/>
      <c r="B51" s="89"/>
      <c r="C51" s="139"/>
      <c r="D51" s="89"/>
      <c r="E51" s="89"/>
      <c r="F51" s="89"/>
      <c r="G51" s="89"/>
    </row>
    <row r="52" spans="1:7" ht="33" customHeight="1">
      <c r="A52" s="89"/>
      <c r="B52" s="89"/>
      <c r="C52" s="139"/>
      <c r="D52" s="89"/>
      <c r="E52" s="89"/>
      <c r="F52" s="89"/>
      <c r="G52" s="89"/>
    </row>
    <row r="53" spans="1:7">
      <c r="A53" s="89"/>
      <c r="B53" s="89"/>
      <c r="C53" s="139"/>
      <c r="D53" s="89"/>
      <c r="E53" s="89"/>
      <c r="F53" s="89"/>
      <c r="G53" s="89"/>
    </row>
    <row r="54" spans="1:7">
      <c r="A54" s="89"/>
      <c r="B54" s="89"/>
      <c r="C54" s="139"/>
      <c r="D54" s="89"/>
      <c r="E54" s="89"/>
      <c r="F54" s="89"/>
      <c r="G54" s="89"/>
    </row>
    <row r="55" spans="1:7">
      <c r="A55" s="89"/>
      <c r="B55" s="89"/>
      <c r="C55" s="139"/>
      <c r="D55" s="89"/>
      <c r="E55" s="89"/>
      <c r="F55" s="89"/>
      <c r="G55" s="89"/>
    </row>
    <row r="56" spans="1:7">
      <c r="A56" s="89"/>
      <c r="B56" s="89"/>
      <c r="C56" s="139"/>
      <c r="D56" s="89"/>
      <c r="E56" s="89"/>
      <c r="F56" s="89"/>
      <c r="G56" s="89"/>
    </row>
    <row r="57" spans="1:7">
      <c r="A57" s="89"/>
      <c r="B57" s="89"/>
      <c r="C57" s="139"/>
      <c r="D57" s="89"/>
      <c r="E57" s="89"/>
      <c r="F57" s="89"/>
      <c r="G57" s="89"/>
    </row>
    <row r="58" spans="1:7" ht="24" customHeight="1">
      <c r="A58" s="89"/>
      <c r="B58" s="89"/>
      <c r="C58" s="139"/>
      <c r="D58" s="89"/>
      <c r="E58" s="89"/>
      <c r="F58" s="89"/>
      <c r="G58" s="89"/>
    </row>
    <row r="59" spans="1:7">
      <c r="A59" s="89"/>
      <c r="B59" s="89"/>
      <c r="C59" s="139"/>
      <c r="D59" s="89"/>
      <c r="E59" s="89"/>
      <c r="F59" s="89"/>
      <c r="G59" s="89"/>
    </row>
    <row r="60" spans="1:7">
      <c r="A60" s="89"/>
      <c r="B60" s="89"/>
      <c r="C60" s="139"/>
      <c r="D60" s="89"/>
      <c r="E60" s="89"/>
      <c r="F60" s="89"/>
      <c r="G60" s="89"/>
    </row>
    <row r="61" spans="1:7">
      <c r="A61" s="89"/>
      <c r="B61" s="89"/>
      <c r="C61" s="139"/>
      <c r="D61" s="89"/>
      <c r="E61" s="89"/>
      <c r="F61" s="89"/>
      <c r="G61" s="89"/>
    </row>
    <row r="62" spans="1:7">
      <c r="A62" s="89"/>
      <c r="B62" s="89"/>
      <c r="C62" s="139"/>
      <c r="D62" s="89"/>
      <c r="E62" s="89"/>
      <c r="F62" s="89"/>
      <c r="G62" s="89"/>
    </row>
    <row r="63" spans="1:7">
      <c r="A63" s="89"/>
      <c r="B63" s="89"/>
      <c r="C63" s="139"/>
      <c r="D63" s="89"/>
      <c r="E63" s="89"/>
      <c r="F63" s="89"/>
      <c r="G63" s="89"/>
    </row>
    <row r="64" spans="1:7">
      <c r="A64" s="89"/>
      <c r="B64" s="89"/>
      <c r="C64" s="139"/>
      <c r="D64" s="89"/>
      <c r="E64" s="89"/>
      <c r="F64" s="89"/>
      <c r="G64" s="89"/>
    </row>
  </sheetData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AD562-5B13-4F2F-9296-943EC27B0EF5}">
  <dimension ref="A1:H115"/>
  <sheetViews>
    <sheetView topLeftCell="A28" workbookViewId="0">
      <selection activeCell="K42" sqref="K42"/>
    </sheetView>
  </sheetViews>
  <sheetFormatPr baseColWidth="10" defaultRowHeight="14.4"/>
  <cols>
    <col min="1" max="1" width="45.44140625" customWidth="1"/>
    <col min="2" max="2" width="11.5546875" style="127"/>
    <col min="3" max="3" width="15.5546875" customWidth="1"/>
    <col min="4" max="4" width="14.5546875" customWidth="1"/>
    <col min="5" max="5" width="14.21875" customWidth="1"/>
    <col min="6" max="6" width="12.33203125" customWidth="1"/>
    <col min="7" max="7" width="16.5546875" customWidth="1"/>
    <col min="8" max="8" width="14.109375" customWidth="1"/>
  </cols>
  <sheetData>
    <row r="1" spans="1:8" ht="28.8">
      <c r="A1" s="406" t="s">
        <v>371</v>
      </c>
      <c r="B1" s="155" t="s">
        <v>28</v>
      </c>
      <c r="C1" s="156" t="s">
        <v>465</v>
      </c>
      <c r="D1" s="155" t="s">
        <v>314</v>
      </c>
      <c r="E1" s="155" t="s">
        <v>313</v>
      </c>
      <c r="F1" s="157" t="s">
        <v>98</v>
      </c>
      <c r="G1" s="158" t="s">
        <v>99</v>
      </c>
      <c r="H1" s="164" t="s">
        <v>39</v>
      </c>
    </row>
    <row r="2" spans="1:8">
      <c r="A2" s="400" t="s">
        <v>490</v>
      </c>
      <c r="B2" s="401" t="s">
        <v>5</v>
      </c>
      <c r="C2" s="173">
        <v>2000</v>
      </c>
      <c r="D2" s="94"/>
      <c r="E2" s="173"/>
      <c r="F2" s="95">
        <f t="shared" ref="F2:F65" si="0">+ROUND(AVERAGE(C2:E2),0)</f>
        <v>2000</v>
      </c>
      <c r="G2" s="402"/>
    </row>
    <row r="3" spans="1:8" ht="18" customHeight="1">
      <c r="A3" s="129" t="s">
        <v>103</v>
      </c>
      <c r="B3" s="4" t="s">
        <v>12</v>
      </c>
      <c r="C3" s="94">
        <v>5100</v>
      </c>
      <c r="D3" s="94">
        <v>5500</v>
      </c>
      <c r="E3" s="94"/>
      <c r="F3" s="95">
        <f t="shared" si="0"/>
        <v>5300</v>
      </c>
      <c r="G3" s="152"/>
    </row>
    <row r="4" spans="1:8">
      <c r="A4" s="149" t="s">
        <v>110</v>
      </c>
      <c r="B4" s="4" t="s">
        <v>5</v>
      </c>
      <c r="C4" s="94">
        <v>1000</v>
      </c>
      <c r="D4" s="94">
        <v>1100</v>
      </c>
      <c r="E4" s="88"/>
      <c r="F4" s="95">
        <f t="shared" si="0"/>
        <v>1050</v>
      </c>
      <c r="G4" s="153"/>
    </row>
    <row r="5" spans="1:8" ht="28.8">
      <c r="A5" s="175" t="s">
        <v>317</v>
      </c>
      <c r="B5" s="100" t="s">
        <v>5</v>
      </c>
      <c r="C5" s="173">
        <v>4000</v>
      </c>
      <c r="D5" s="94">
        <v>3800</v>
      </c>
      <c r="E5" s="173">
        <v>3900</v>
      </c>
      <c r="F5" s="95">
        <f t="shared" si="0"/>
        <v>3900</v>
      </c>
      <c r="G5" s="174">
        <v>195</v>
      </c>
    </row>
    <row r="6" spans="1:8">
      <c r="A6" s="149" t="s">
        <v>321</v>
      </c>
      <c r="B6" s="100" t="s">
        <v>5</v>
      </c>
      <c r="C6" s="165">
        <v>1300</v>
      </c>
      <c r="D6" s="166">
        <v>1500</v>
      </c>
      <c r="E6" s="165">
        <v>1700</v>
      </c>
      <c r="F6" s="95">
        <f t="shared" si="0"/>
        <v>1500</v>
      </c>
      <c r="G6" s="168">
        <v>195</v>
      </c>
    </row>
    <row r="7" spans="1:8">
      <c r="A7" s="172" t="s">
        <v>472</v>
      </c>
      <c r="B7" s="100" t="s">
        <v>5</v>
      </c>
      <c r="C7" s="173">
        <v>24000</v>
      </c>
      <c r="D7" s="94"/>
      <c r="E7" s="173"/>
      <c r="F7" s="95">
        <f t="shared" si="0"/>
        <v>24000</v>
      </c>
      <c r="G7" s="174"/>
    </row>
    <row r="8" spans="1:8">
      <c r="A8" s="172" t="s">
        <v>68</v>
      </c>
      <c r="B8" s="100" t="s">
        <v>69</v>
      </c>
      <c r="C8" s="173">
        <v>30</v>
      </c>
      <c r="D8" s="94">
        <v>35</v>
      </c>
      <c r="E8" s="173">
        <v>40</v>
      </c>
      <c r="F8" s="95">
        <f t="shared" si="0"/>
        <v>35</v>
      </c>
      <c r="G8" s="174"/>
    </row>
    <row r="9" spans="1:8">
      <c r="A9" s="129" t="s">
        <v>75</v>
      </c>
      <c r="B9" s="4" t="s">
        <v>12</v>
      </c>
      <c r="C9" s="94">
        <v>8500</v>
      </c>
      <c r="D9" s="94">
        <v>8700</v>
      </c>
      <c r="E9" s="94"/>
      <c r="F9" s="95">
        <f t="shared" si="0"/>
        <v>8600</v>
      </c>
      <c r="G9" s="152"/>
    </row>
    <row r="10" spans="1:8">
      <c r="A10" s="172" t="s">
        <v>334</v>
      </c>
      <c r="B10" s="100" t="s">
        <v>5</v>
      </c>
      <c r="C10" s="173">
        <v>48000</v>
      </c>
      <c r="D10" s="94">
        <v>46500</v>
      </c>
      <c r="E10" s="173">
        <v>47500</v>
      </c>
      <c r="F10" s="95">
        <f t="shared" si="0"/>
        <v>47333</v>
      </c>
      <c r="G10" s="174">
        <v>195</v>
      </c>
      <c r="H10" t="s">
        <v>335</v>
      </c>
    </row>
    <row r="11" spans="1:8">
      <c r="A11" s="149" t="s">
        <v>474</v>
      </c>
      <c r="B11" s="100" t="s">
        <v>5</v>
      </c>
      <c r="C11" s="173">
        <v>65000</v>
      </c>
      <c r="D11" s="94"/>
      <c r="E11" s="88"/>
      <c r="F11" s="95">
        <f t="shared" si="0"/>
        <v>65000</v>
      </c>
      <c r="G11" s="153"/>
    </row>
    <row r="12" spans="1:8">
      <c r="A12" s="150" t="s">
        <v>65</v>
      </c>
      <c r="B12" s="93" t="s">
        <v>11</v>
      </c>
      <c r="C12" s="94">
        <v>70000</v>
      </c>
      <c r="D12" s="94">
        <v>73625</v>
      </c>
      <c r="E12" s="94"/>
      <c r="F12" s="95">
        <f t="shared" si="0"/>
        <v>71813</v>
      </c>
      <c r="G12" s="154">
        <v>125</v>
      </c>
    </row>
    <row r="13" spans="1:8">
      <c r="A13" s="149" t="s">
        <v>126</v>
      </c>
      <c r="B13" s="100" t="s">
        <v>11</v>
      </c>
      <c r="C13" s="94">
        <v>70000</v>
      </c>
      <c r="D13" s="94">
        <v>72000</v>
      </c>
      <c r="E13" s="88"/>
      <c r="F13" s="95">
        <f t="shared" si="0"/>
        <v>71000</v>
      </c>
      <c r="G13" s="153"/>
    </row>
    <row r="14" spans="1:8" ht="17.25" customHeight="1">
      <c r="A14" s="149" t="s">
        <v>130</v>
      </c>
      <c r="B14" s="100" t="s">
        <v>10</v>
      </c>
      <c r="C14" s="88"/>
      <c r="D14" s="94">
        <v>200000</v>
      </c>
      <c r="E14" s="88"/>
      <c r="F14" s="95">
        <f t="shared" si="0"/>
        <v>200000</v>
      </c>
      <c r="G14" s="153"/>
    </row>
    <row r="15" spans="1:8" ht="21" customHeight="1">
      <c r="A15" s="149" t="s">
        <v>331</v>
      </c>
      <c r="B15" s="100" t="s">
        <v>5</v>
      </c>
      <c r="C15" s="165">
        <v>6000</v>
      </c>
      <c r="D15" s="166">
        <v>6400</v>
      </c>
      <c r="E15" s="165">
        <v>6600</v>
      </c>
      <c r="F15" s="95">
        <f t="shared" si="0"/>
        <v>6333</v>
      </c>
      <c r="G15" s="153">
        <v>195</v>
      </c>
      <c r="H15" t="s">
        <v>332</v>
      </c>
    </row>
    <row r="16" spans="1:8" ht="21" customHeight="1">
      <c r="A16" s="149" t="s">
        <v>504</v>
      </c>
      <c r="B16" s="100" t="s">
        <v>5</v>
      </c>
      <c r="C16" s="165">
        <v>25000</v>
      </c>
      <c r="D16" s="94"/>
      <c r="E16" s="88"/>
      <c r="F16" s="95">
        <f t="shared" si="0"/>
        <v>25000</v>
      </c>
      <c r="G16" s="153"/>
    </row>
    <row r="17" spans="1:7" ht="21" customHeight="1">
      <c r="A17" s="149" t="s">
        <v>111</v>
      </c>
      <c r="B17" s="100" t="s">
        <v>12</v>
      </c>
      <c r="C17" s="94">
        <v>6000</v>
      </c>
      <c r="D17" s="94">
        <v>7200</v>
      </c>
      <c r="E17" s="88"/>
      <c r="F17" s="95">
        <f t="shared" si="0"/>
        <v>6600</v>
      </c>
      <c r="G17" s="153"/>
    </row>
    <row r="18" spans="1:7" ht="21" customHeight="1">
      <c r="A18" s="149" t="s">
        <v>463</v>
      </c>
      <c r="B18" s="100" t="s">
        <v>5</v>
      </c>
      <c r="C18" s="173">
        <v>60000</v>
      </c>
      <c r="D18" s="94"/>
      <c r="E18" s="165"/>
      <c r="F18" s="95">
        <f t="shared" si="0"/>
        <v>60000</v>
      </c>
      <c r="G18" s="153"/>
    </row>
    <row r="19" spans="1:7" ht="21" customHeight="1">
      <c r="A19" s="149" t="s">
        <v>326</v>
      </c>
      <c r="B19" s="100" t="s">
        <v>5</v>
      </c>
      <c r="C19" s="165">
        <v>15000</v>
      </c>
      <c r="D19" s="166">
        <v>17000</v>
      </c>
      <c r="E19" s="165">
        <v>19000</v>
      </c>
      <c r="F19" s="95">
        <f t="shared" si="0"/>
        <v>17000</v>
      </c>
      <c r="G19" s="153"/>
    </row>
    <row r="20" spans="1:7" ht="21" customHeight="1">
      <c r="A20" s="149" t="s">
        <v>516</v>
      </c>
      <c r="B20" s="100" t="s">
        <v>375</v>
      </c>
      <c r="C20" s="165">
        <v>90000</v>
      </c>
      <c r="D20" s="94"/>
      <c r="E20" s="165"/>
      <c r="F20" s="95">
        <f t="shared" si="0"/>
        <v>90000</v>
      </c>
      <c r="G20" s="153"/>
    </row>
    <row r="21" spans="1:7" ht="21" customHeight="1">
      <c r="A21" s="149" t="s">
        <v>376</v>
      </c>
      <c r="B21" s="100" t="s">
        <v>375</v>
      </c>
      <c r="C21" s="165">
        <v>250000</v>
      </c>
      <c r="D21" s="94">
        <v>240000</v>
      </c>
      <c r="E21" s="165">
        <v>245000</v>
      </c>
      <c r="F21" s="95">
        <f t="shared" si="0"/>
        <v>245000</v>
      </c>
      <c r="G21" s="153"/>
    </row>
    <row r="22" spans="1:7" ht="21" customHeight="1">
      <c r="A22" s="149" t="s">
        <v>494</v>
      </c>
      <c r="B22" s="100" t="s">
        <v>5</v>
      </c>
      <c r="C22" s="165">
        <v>2000</v>
      </c>
      <c r="D22" s="94"/>
      <c r="E22" s="165"/>
      <c r="F22" s="95">
        <f t="shared" si="0"/>
        <v>2000</v>
      </c>
      <c r="G22" s="153"/>
    </row>
    <row r="23" spans="1:7" ht="21" customHeight="1">
      <c r="A23" s="149" t="s">
        <v>501</v>
      </c>
      <c r="B23" s="100" t="s">
        <v>5</v>
      </c>
      <c r="C23" s="165">
        <v>2500</v>
      </c>
      <c r="D23" s="94"/>
      <c r="E23" s="165"/>
      <c r="F23" s="95">
        <f t="shared" si="0"/>
        <v>2500</v>
      </c>
      <c r="G23" s="153"/>
    </row>
    <row r="24" spans="1:7" ht="21" customHeight="1">
      <c r="A24" s="149" t="s">
        <v>529</v>
      </c>
      <c r="B24" s="100" t="s">
        <v>5</v>
      </c>
      <c r="C24" s="165">
        <v>15000</v>
      </c>
      <c r="D24" s="94"/>
      <c r="E24" s="165"/>
      <c r="F24" s="95">
        <f t="shared" si="0"/>
        <v>15000</v>
      </c>
      <c r="G24" s="153"/>
    </row>
    <row r="25" spans="1:7" ht="21" customHeight="1">
      <c r="A25" s="149" t="s">
        <v>136</v>
      </c>
      <c r="B25" s="100" t="s">
        <v>84</v>
      </c>
      <c r="C25" s="88">
        <v>9000</v>
      </c>
      <c r="D25" s="94"/>
      <c r="E25" s="88"/>
      <c r="F25" s="95">
        <f t="shared" si="0"/>
        <v>9000</v>
      </c>
      <c r="G25" s="153"/>
    </row>
    <row r="26" spans="1:7" ht="21" customHeight="1">
      <c r="A26" s="150" t="s">
        <v>72</v>
      </c>
      <c r="B26" s="93" t="s">
        <v>62</v>
      </c>
      <c r="C26" s="94">
        <v>36000</v>
      </c>
      <c r="D26" s="94">
        <v>37000</v>
      </c>
      <c r="E26" s="94">
        <v>38000</v>
      </c>
      <c r="F26" s="95">
        <f t="shared" si="0"/>
        <v>37000</v>
      </c>
      <c r="G26" s="154"/>
    </row>
    <row r="27" spans="1:7" ht="21" customHeight="1">
      <c r="A27" s="149" t="s">
        <v>114</v>
      </c>
      <c r="B27" s="100" t="s">
        <v>12</v>
      </c>
      <c r="C27" s="94">
        <v>3500</v>
      </c>
      <c r="D27" s="94">
        <v>3800</v>
      </c>
      <c r="E27" s="88"/>
      <c r="F27" s="95">
        <f t="shared" si="0"/>
        <v>3650</v>
      </c>
      <c r="G27" s="153"/>
    </row>
    <row r="28" spans="1:7" ht="21" customHeight="1">
      <c r="A28" s="149" t="s">
        <v>119</v>
      </c>
      <c r="B28" s="100" t="s">
        <v>9</v>
      </c>
      <c r="C28" s="94">
        <v>50000</v>
      </c>
      <c r="D28" s="94">
        <v>52200</v>
      </c>
      <c r="E28" s="88"/>
      <c r="F28" s="95">
        <f t="shared" si="0"/>
        <v>51100</v>
      </c>
      <c r="G28" s="153"/>
    </row>
    <row r="29" spans="1:7" ht="21" customHeight="1">
      <c r="A29" s="149" t="s">
        <v>555</v>
      </c>
      <c r="B29" s="100" t="s">
        <v>9</v>
      </c>
      <c r="C29" s="173">
        <v>70000</v>
      </c>
      <c r="D29" s="94"/>
      <c r="E29" s="165"/>
      <c r="F29" s="95">
        <f t="shared" si="0"/>
        <v>70000</v>
      </c>
      <c r="G29" s="153"/>
    </row>
    <row r="30" spans="1:7" ht="21" customHeight="1">
      <c r="A30" s="149" t="s">
        <v>118</v>
      </c>
      <c r="B30" s="100" t="s">
        <v>9</v>
      </c>
      <c r="C30" s="94">
        <v>30000</v>
      </c>
      <c r="D30" s="94">
        <v>32000</v>
      </c>
      <c r="E30" s="88"/>
      <c r="F30" s="95">
        <f t="shared" si="0"/>
        <v>31000</v>
      </c>
      <c r="G30" s="153"/>
    </row>
    <row r="31" spans="1:7" ht="21" customHeight="1">
      <c r="A31" s="149" t="s">
        <v>515</v>
      </c>
      <c r="B31" s="100" t="s">
        <v>5</v>
      </c>
      <c r="C31" s="165">
        <v>400</v>
      </c>
      <c r="D31" s="94"/>
      <c r="E31" s="165"/>
      <c r="F31" s="95">
        <f t="shared" si="0"/>
        <v>400</v>
      </c>
      <c r="G31" s="153"/>
    </row>
    <row r="32" spans="1:7" ht="21" customHeight="1">
      <c r="A32" s="149" t="s">
        <v>520</v>
      </c>
      <c r="B32" s="100" t="s">
        <v>9</v>
      </c>
      <c r="C32" s="173">
        <v>30000</v>
      </c>
      <c r="D32" s="94"/>
      <c r="E32" s="165"/>
      <c r="F32" s="95">
        <f t="shared" si="0"/>
        <v>30000</v>
      </c>
      <c r="G32" s="153"/>
    </row>
    <row r="33" spans="1:8" ht="21" customHeight="1">
      <c r="A33" s="149" t="s">
        <v>496</v>
      </c>
      <c r="B33" s="100" t="s">
        <v>5</v>
      </c>
      <c r="C33" s="165">
        <v>5000</v>
      </c>
      <c r="D33" s="94"/>
      <c r="E33" s="88"/>
      <c r="F33" s="95">
        <f t="shared" si="0"/>
        <v>5000</v>
      </c>
      <c r="G33" s="153"/>
    </row>
    <row r="34" spans="1:8">
      <c r="A34" s="172" t="s">
        <v>476</v>
      </c>
      <c r="B34" s="100" t="s">
        <v>5</v>
      </c>
      <c r="C34" s="173">
        <v>4500</v>
      </c>
      <c r="D34" s="94"/>
      <c r="E34" s="173"/>
      <c r="F34" s="95">
        <f t="shared" si="0"/>
        <v>4500</v>
      </c>
      <c r="G34" s="174"/>
    </row>
    <row r="35" spans="1:8">
      <c r="A35" s="149" t="s">
        <v>109</v>
      </c>
      <c r="B35" s="4" t="s">
        <v>84</v>
      </c>
      <c r="C35" s="94">
        <v>1000</v>
      </c>
      <c r="D35" s="94">
        <v>1200</v>
      </c>
      <c r="E35" s="88"/>
      <c r="F35" s="95">
        <f t="shared" si="0"/>
        <v>1100</v>
      </c>
      <c r="G35" s="153"/>
    </row>
    <row r="36" spans="1:8">
      <c r="A36" s="149" t="s">
        <v>487</v>
      </c>
      <c r="B36" s="4" t="s">
        <v>84</v>
      </c>
      <c r="C36" s="94">
        <v>5000</v>
      </c>
      <c r="D36" s="94">
        <v>5300</v>
      </c>
      <c r="E36" s="88"/>
      <c r="F36" s="95">
        <f t="shared" si="0"/>
        <v>5150</v>
      </c>
      <c r="G36" s="153"/>
    </row>
    <row r="37" spans="1:8">
      <c r="A37" s="149" t="s">
        <v>486</v>
      </c>
      <c r="B37" s="4" t="s">
        <v>84</v>
      </c>
      <c r="C37" s="94">
        <v>11999</v>
      </c>
      <c r="D37" s="94">
        <v>12200</v>
      </c>
      <c r="E37" s="88"/>
      <c r="F37" s="95">
        <f t="shared" si="0"/>
        <v>12100</v>
      </c>
      <c r="G37" s="153"/>
    </row>
    <row r="38" spans="1:8">
      <c r="A38" s="149" t="s">
        <v>556</v>
      </c>
      <c r="B38" s="100" t="s">
        <v>5</v>
      </c>
      <c r="C38" s="173">
        <v>5000</v>
      </c>
      <c r="D38" s="94"/>
      <c r="E38" s="165"/>
      <c r="F38" s="95">
        <f t="shared" si="0"/>
        <v>5000</v>
      </c>
      <c r="G38" s="153"/>
    </row>
    <row r="39" spans="1:8">
      <c r="A39" s="149" t="s">
        <v>557</v>
      </c>
      <c r="B39" s="100" t="s">
        <v>11</v>
      </c>
      <c r="C39" s="173">
        <f>+[1]LIST!D43</f>
        <v>0</v>
      </c>
      <c r="D39" s="94"/>
      <c r="E39" s="165"/>
      <c r="F39" s="95">
        <f t="shared" si="0"/>
        <v>0</v>
      </c>
      <c r="G39" s="153"/>
    </row>
    <row r="40" spans="1:8">
      <c r="A40" s="149" t="s">
        <v>116</v>
      </c>
      <c r="B40" s="100" t="s">
        <v>84</v>
      </c>
      <c r="C40" s="94">
        <v>20000</v>
      </c>
      <c r="D40" s="94">
        <v>21000</v>
      </c>
      <c r="E40" s="88"/>
      <c r="F40" s="95">
        <f t="shared" si="0"/>
        <v>20500</v>
      </c>
      <c r="G40" s="153"/>
    </row>
    <row r="41" spans="1:8">
      <c r="A41" s="149" t="s">
        <v>378</v>
      </c>
      <c r="B41" s="100" t="s">
        <v>5</v>
      </c>
      <c r="C41" s="165">
        <v>5000</v>
      </c>
      <c r="D41" s="94">
        <v>5500</v>
      </c>
      <c r="E41" s="165">
        <v>6000</v>
      </c>
      <c r="F41" s="95">
        <f t="shared" si="0"/>
        <v>5500</v>
      </c>
      <c r="G41" s="153"/>
    </row>
    <row r="42" spans="1:8">
      <c r="A42" s="172" t="s">
        <v>469</v>
      </c>
      <c r="B42" s="100" t="s">
        <v>5</v>
      </c>
      <c r="C42" s="173">
        <v>28000</v>
      </c>
      <c r="D42" s="94"/>
      <c r="E42" s="173"/>
      <c r="F42" s="95">
        <f t="shared" si="0"/>
        <v>28000</v>
      </c>
      <c r="G42" s="174"/>
    </row>
    <row r="43" spans="1:8">
      <c r="A43" s="149" t="s">
        <v>483</v>
      </c>
      <c r="B43" s="100" t="s">
        <v>11</v>
      </c>
      <c r="C43" s="88"/>
      <c r="D43" s="94"/>
      <c r="E43" s="88"/>
      <c r="F43" s="95" t="e">
        <f t="shared" si="0"/>
        <v>#DIV/0!</v>
      </c>
      <c r="G43" s="153"/>
    </row>
    <row r="44" spans="1:8">
      <c r="A44" s="149" t="s">
        <v>129</v>
      </c>
      <c r="B44" s="100" t="s">
        <v>9</v>
      </c>
      <c r="C44" s="94">
        <v>128205</v>
      </c>
      <c r="D44" s="94">
        <v>135000</v>
      </c>
      <c r="E44" s="88"/>
      <c r="F44" s="95">
        <f t="shared" si="0"/>
        <v>131603</v>
      </c>
      <c r="G44" s="153"/>
    </row>
    <row r="45" spans="1:8">
      <c r="A45" s="149" t="s">
        <v>336</v>
      </c>
      <c r="B45" s="100" t="s">
        <v>5</v>
      </c>
      <c r="C45" s="165">
        <v>7200000</v>
      </c>
      <c r="D45" s="94">
        <v>7500000</v>
      </c>
      <c r="E45" s="165">
        <v>7800000</v>
      </c>
      <c r="F45" s="95">
        <f t="shared" si="0"/>
        <v>7500000</v>
      </c>
      <c r="G45" s="153">
        <v>195</v>
      </c>
    </row>
    <row r="46" spans="1:8" ht="28.8">
      <c r="A46" s="175" t="s">
        <v>327</v>
      </c>
      <c r="B46" s="100" t="s">
        <v>524</v>
      </c>
      <c r="C46" s="173">
        <v>280000</v>
      </c>
      <c r="D46" s="94">
        <v>285000</v>
      </c>
      <c r="E46" s="173">
        <v>293000</v>
      </c>
      <c r="F46" s="95">
        <f t="shared" si="0"/>
        <v>286000</v>
      </c>
      <c r="G46" s="174"/>
      <c r="H46" t="s">
        <v>329</v>
      </c>
    </row>
    <row r="47" spans="1:8" ht="31.5" customHeight="1">
      <c r="A47" s="175" t="s">
        <v>558</v>
      </c>
      <c r="B47" s="100" t="s">
        <v>524</v>
      </c>
      <c r="C47" s="173">
        <v>120000</v>
      </c>
      <c r="D47" s="94"/>
      <c r="E47" s="173"/>
      <c r="F47" s="95">
        <f t="shared" si="0"/>
        <v>120000</v>
      </c>
      <c r="G47" s="174"/>
      <c r="H47" t="s">
        <v>559</v>
      </c>
    </row>
    <row r="48" spans="1:8">
      <c r="A48" s="175" t="s">
        <v>560</v>
      </c>
      <c r="B48" s="100" t="s">
        <v>5</v>
      </c>
      <c r="C48" s="173">
        <v>13500</v>
      </c>
      <c r="D48" s="94"/>
      <c r="E48" s="173"/>
      <c r="F48" s="95">
        <f t="shared" si="0"/>
        <v>13500</v>
      </c>
      <c r="G48" s="174"/>
    </row>
    <row r="49" spans="1:8">
      <c r="A49" s="149" t="s">
        <v>510</v>
      </c>
      <c r="B49" s="100" t="s">
        <v>5</v>
      </c>
      <c r="C49" s="165">
        <v>30000</v>
      </c>
      <c r="D49" s="94"/>
      <c r="E49" s="165"/>
      <c r="F49" s="95">
        <f t="shared" si="0"/>
        <v>30000</v>
      </c>
      <c r="G49" s="153"/>
    </row>
    <row r="50" spans="1:8">
      <c r="A50" s="149" t="s">
        <v>115</v>
      </c>
      <c r="B50" s="100" t="s">
        <v>12</v>
      </c>
      <c r="C50" s="94">
        <v>2100</v>
      </c>
      <c r="D50" s="94">
        <v>2400</v>
      </c>
      <c r="E50" s="88"/>
      <c r="F50" s="95">
        <f t="shared" si="0"/>
        <v>2250</v>
      </c>
      <c r="G50" s="153"/>
    </row>
    <row r="51" spans="1:8">
      <c r="A51" s="149" t="s">
        <v>461</v>
      </c>
      <c r="B51" s="100" t="s">
        <v>5</v>
      </c>
      <c r="C51" s="173">
        <v>72000</v>
      </c>
      <c r="D51" s="94"/>
      <c r="E51" s="165"/>
      <c r="F51" s="95">
        <f t="shared" si="0"/>
        <v>72000</v>
      </c>
      <c r="G51" s="153"/>
    </row>
    <row r="52" spans="1:8">
      <c r="A52" s="149" t="s">
        <v>523</v>
      </c>
      <c r="B52" s="100" t="s">
        <v>524</v>
      </c>
      <c r="C52" s="165">
        <v>480000</v>
      </c>
      <c r="D52" s="94"/>
      <c r="E52" s="165"/>
      <c r="F52" s="95">
        <f t="shared" si="0"/>
        <v>480000</v>
      </c>
      <c r="G52" s="153"/>
      <c r="H52" t="s">
        <v>525</v>
      </c>
    </row>
    <row r="53" spans="1:8">
      <c r="A53" s="149" t="s">
        <v>502</v>
      </c>
      <c r="B53" s="100" t="s">
        <v>5</v>
      </c>
      <c r="C53" s="165">
        <v>7000</v>
      </c>
      <c r="D53" s="94"/>
      <c r="E53" s="165"/>
      <c r="F53" s="95">
        <f t="shared" si="0"/>
        <v>7000</v>
      </c>
      <c r="G53" s="153"/>
    </row>
    <row r="54" spans="1:8">
      <c r="A54" s="149" t="s">
        <v>505</v>
      </c>
      <c r="B54" s="100" t="s">
        <v>5</v>
      </c>
      <c r="C54" s="165">
        <v>20000</v>
      </c>
      <c r="D54" s="94"/>
      <c r="E54" s="165"/>
      <c r="F54" s="95">
        <f t="shared" si="0"/>
        <v>20000</v>
      </c>
      <c r="G54" s="153"/>
    </row>
    <row r="55" spans="1:8">
      <c r="A55" s="172" t="s">
        <v>467</v>
      </c>
      <c r="B55" s="100" t="s">
        <v>5</v>
      </c>
      <c r="C55" s="173">
        <v>190000</v>
      </c>
      <c r="D55" s="94"/>
      <c r="E55" s="173"/>
      <c r="F55" s="95">
        <f t="shared" si="0"/>
        <v>190000</v>
      </c>
      <c r="G55" s="174"/>
    </row>
    <row r="56" spans="1:8">
      <c r="A56" s="129" t="s">
        <v>466</v>
      </c>
      <c r="B56" s="4" t="s">
        <v>84</v>
      </c>
      <c r="C56" s="94">
        <v>160000</v>
      </c>
      <c r="D56" s="94"/>
      <c r="E56" s="94"/>
      <c r="F56" s="95">
        <f t="shared" si="0"/>
        <v>160000</v>
      </c>
      <c r="G56" s="152"/>
    </row>
    <row r="57" spans="1:8">
      <c r="A57" s="149" t="s">
        <v>122</v>
      </c>
      <c r="B57" s="98">
        <v>0.25</v>
      </c>
      <c r="C57" s="94">
        <v>33600</v>
      </c>
      <c r="D57" s="94">
        <v>34500</v>
      </c>
      <c r="E57" s="88"/>
      <c r="F57" s="95">
        <f t="shared" si="0"/>
        <v>34050</v>
      </c>
      <c r="G57" s="153"/>
    </row>
    <row r="58" spans="1:8">
      <c r="A58" s="129" t="s">
        <v>88</v>
      </c>
      <c r="B58" s="4" t="s">
        <v>84</v>
      </c>
      <c r="C58" s="94">
        <v>12000</v>
      </c>
      <c r="D58" s="94">
        <v>12500</v>
      </c>
      <c r="E58" s="94"/>
      <c r="F58" s="95">
        <f t="shared" si="0"/>
        <v>12250</v>
      </c>
      <c r="G58" s="152"/>
    </row>
    <row r="59" spans="1:8">
      <c r="A59" s="172" t="s">
        <v>468</v>
      </c>
      <c r="B59" s="100" t="s">
        <v>5</v>
      </c>
      <c r="C59" s="173">
        <v>25000</v>
      </c>
      <c r="D59" s="94"/>
      <c r="E59" s="173"/>
      <c r="F59" s="95">
        <f t="shared" si="0"/>
        <v>25000</v>
      </c>
      <c r="G59" s="174"/>
    </row>
    <row r="60" spans="1:8">
      <c r="A60" s="172" t="s">
        <v>470</v>
      </c>
      <c r="B60" s="100" t="s">
        <v>5</v>
      </c>
      <c r="C60" s="173">
        <v>160000</v>
      </c>
      <c r="D60" s="94"/>
      <c r="E60" s="173"/>
      <c r="F60" s="95">
        <f t="shared" si="0"/>
        <v>160000</v>
      </c>
      <c r="G60" s="174"/>
    </row>
    <row r="61" spans="1:8">
      <c r="A61" s="172" t="s">
        <v>475</v>
      </c>
      <c r="B61" s="100" t="s">
        <v>5</v>
      </c>
      <c r="C61" s="173">
        <v>170000</v>
      </c>
      <c r="D61" s="94"/>
      <c r="E61" s="173"/>
      <c r="F61" s="95">
        <f t="shared" si="0"/>
        <v>170000</v>
      </c>
      <c r="G61" s="174"/>
    </row>
    <row r="62" spans="1:8" ht="28.8">
      <c r="A62" s="151" t="s">
        <v>131</v>
      </c>
      <c r="B62" s="100" t="s">
        <v>132</v>
      </c>
      <c r="C62" s="88"/>
      <c r="D62" s="94">
        <v>217900</v>
      </c>
      <c r="E62" s="88"/>
      <c r="F62" s="95">
        <f t="shared" si="0"/>
        <v>217900</v>
      </c>
      <c r="G62" s="153">
        <v>193</v>
      </c>
    </row>
    <row r="63" spans="1:8" ht="22.5" customHeight="1">
      <c r="A63" s="149" t="s">
        <v>462</v>
      </c>
      <c r="B63" s="100" t="s">
        <v>5</v>
      </c>
      <c r="C63" s="173">
        <v>7000</v>
      </c>
      <c r="D63" s="94"/>
      <c r="E63" s="165"/>
      <c r="F63" s="95">
        <f t="shared" si="0"/>
        <v>7000</v>
      </c>
      <c r="G63" s="153"/>
    </row>
    <row r="64" spans="1:8" ht="28.2" customHeight="1">
      <c r="A64" s="149" t="s">
        <v>117</v>
      </c>
      <c r="B64" s="100" t="s">
        <v>84</v>
      </c>
      <c r="C64" s="94">
        <v>185000</v>
      </c>
      <c r="D64" s="94">
        <v>194000</v>
      </c>
      <c r="E64" s="88"/>
      <c r="F64" s="95">
        <f t="shared" si="0"/>
        <v>189500</v>
      </c>
      <c r="G64" s="153"/>
    </row>
    <row r="65" spans="1:8" ht="28.2" customHeight="1">
      <c r="A65" s="149" t="s">
        <v>561</v>
      </c>
      <c r="B65" s="100" t="s">
        <v>5</v>
      </c>
      <c r="C65" s="94">
        <v>35000</v>
      </c>
      <c r="D65" s="94"/>
      <c r="E65" s="88"/>
      <c r="F65" s="95">
        <f t="shared" si="0"/>
        <v>35000</v>
      </c>
      <c r="G65" s="153"/>
    </row>
    <row r="66" spans="1:8" ht="28.2" customHeight="1">
      <c r="A66" s="151" t="s">
        <v>325</v>
      </c>
      <c r="B66" s="100" t="s">
        <v>73</v>
      </c>
      <c r="C66" s="173">
        <v>138000</v>
      </c>
      <c r="D66" s="94">
        <v>140000</v>
      </c>
      <c r="E66" s="165">
        <v>144000</v>
      </c>
      <c r="F66" s="95">
        <f t="shared" ref="F66:F106" si="1">+ROUND(AVERAGE(C66:E66),0)</f>
        <v>140667</v>
      </c>
      <c r="G66" s="153"/>
      <c r="H66" s="127" t="s">
        <v>328</v>
      </c>
    </row>
    <row r="67" spans="1:8" ht="28.2" customHeight="1">
      <c r="A67" s="151" t="s">
        <v>562</v>
      </c>
      <c r="B67" s="100" t="s">
        <v>524</v>
      </c>
      <c r="C67" s="173">
        <v>300000</v>
      </c>
      <c r="D67" s="94"/>
      <c r="E67" s="165"/>
      <c r="F67" s="95">
        <f t="shared" si="1"/>
        <v>300000</v>
      </c>
      <c r="G67" s="153"/>
      <c r="H67" s="127" t="s">
        <v>563</v>
      </c>
    </row>
    <row r="68" spans="1:8" ht="28.2" customHeight="1">
      <c r="A68" s="149" t="s">
        <v>503</v>
      </c>
      <c r="B68" s="100" t="s">
        <v>5</v>
      </c>
      <c r="C68" s="165">
        <v>5000</v>
      </c>
      <c r="D68" s="94"/>
      <c r="E68" s="88"/>
      <c r="F68" s="95">
        <f t="shared" si="1"/>
        <v>5000</v>
      </c>
      <c r="G68" s="153"/>
    </row>
    <row r="69" spans="1:8" ht="28.2" customHeight="1">
      <c r="A69" s="149" t="s">
        <v>135</v>
      </c>
      <c r="B69" s="100" t="s">
        <v>9</v>
      </c>
      <c r="C69" s="88"/>
      <c r="D69" s="94">
        <v>222222</v>
      </c>
      <c r="E69" s="88"/>
      <c r="F69" s="95">
        <f t="shared" si="1"/>
        <v>222222</v>
      </c>
      <c r="G69" s="153"/>
    </row>
    <row r="70" spans="1:8" ht="33.6" customHeight="1">
      <c r="A70" s="149" t="s">
        <v>564</v>
      </c>
      <c r="B70" s="100" t="s">
        <v>5</v>
      </c>
      <c r="C70" s="165">
        <v>8200000</v>
      </c>
      <c r="D70" s="94"/>
      <c r="E70" s="88"/>
      <c r="F70" s="95">
        <f>+ROUND(AVERAGE(C70:E70),0)</f>
        <v>8200000</v>
      </c>
      <c r="G70" s="153"/>
    </row>
    <row r="71" spans="1:8" ht="22.5" customHeight="1">
      <c r="A71" s="129" t="s">
        <v>101</v>
      </c>
      <c r="B71" s="4" t="s">
        <v>102</v>
      </c>
      <c r="C71" s="94">
        <v>5500</v>
      </c>
      <c r="D71" s="94">
        <v>5800</v>
      </c>
      <c r="E71" s="94"/>
      <c r="F71" s="95">
        <f t="shared" si="1"/>
        <v>5650</v>
      </c>
      <c r="G71" s="152"/>
    </row>
    <row r="72" spans="1:8" ht="22.5" customHeight="1">
      <c r="A72" s="149" t="s">
        <v>517</v>
      </c>
      <c r="B72" s="100" t="s">
        <v>5</v>
      </c>
      <c r="C72" s="173">
        <v>17000</v>
      </c>
      <c r="D72" s="94"/>
      <c r="E72" s="88"/>
      <c r="F72" s="95">
        <f t="shared" si="1"/>
        <v>17000</v>
      </c>
      <c r="G72" s="153"/>
    </row>
    <row r="73" spans="1:8" ht="22.5" customHeight="1">
      <c r="A73" s="150" t="s">
        <v>96</v>
      </c>
      <c r="B73" s="93" t="s">
        <v>11</v>
      </c>
      <c r="C73" s="94"/>
      <c r="D73" s="94"/>
      <c r="E73" s="94">
        <v>75000</v>
      </c>
      <c r="F73" s="95">
        <f t="shared" si="1"/>
        <v>75000</v>
      </c>
      <c r="G73" s="154">
        <v>5</v>
      </c>
    </row>
    <row r="74" spans="1:8" ht="22.5" customHeight="1">
      <c r="A74" s="149" t="s">
        <v>124</v>
      </c>
      <c r="B74" s="100" t="s">
        <v>84</v>
      </c>
      <c r="C74" s="94">
        <v>6000</v>
      </c>
      <c r="D74" s="94">
        <v>6800</v>
      </c>
      <c r="E74" s="88"/>
      <c r="F74" s="95">
        <f t="shared" si="1"/>
        <v>6400</v>
      </c>
      <c r="G74" s="153"/>
    </row>
    <row r="75" spans="1:8" ht="22.5" customHeight="1">
      <c r="A75" s="149" t="s">
        <v>526</v>
      </c>
      <c r="B75" s="100" t="s">
        <v>5</v>
      </c>
      <c r="C75" s="165">
        <v>17900</v>
      </c>
      <c r="D75" s="94"/>
      <c r="E75" s="165"/>
      <c r="F75" s="95">
        <f t="shared" si="1"/>
        <v>17900</v>
      </c>
      <c r="G75" s="153"/>
    </row>
    <row r="76" spans="1:8" ht="22.5" customHeight="1">
      <c r="A76" s="149" t="s">
        <v>565</v>
      </c>
      <c r="B76" s="100" t="s">
        <v>9</v>
      </c>
      <c r="C76" s="165">
        <v>38300</v>
      </c>
      <c r="D76" s="94"/>
      <c r="E76" s="165"/>
      <c r="F76" s="95">
        <f>+ROUND(AVERAGE(C76:E76),0)</f>
        <v>38300</v>
      </c>
      <c r="G76" s="153"/>
    </row>
    <row r="77" spans="1:8" ht="22.5" customHeight="1">
      <c r="A77" s="149" t="s">
        <v>566</v>
      </c>
      <c r="B77" s="100" t="s">
        <v>5</v>
      </c>
      <c r="C77" s="165">
        <v>110</v>
      </c>
      <c r="D77" s="94"/>
      <c r="E77" s="165"/>
      <c r="F77" s="95">
        <f>+ROUND(AVERAGE(C77:E77),0)</f>
        <v>110</v>
      </c>
      <c r="G77" s="153"/>
    </row>
    <row r="78" spans="1:8" ht="22.5" customHeight="1">
      <c r="A78" s="149" t="s">
        <v>460</v>
      </c>
      <c r="B78" s="100" t="s">
        <v>5</v>
      </c>
      <c r="C78" s="173">
        <v>310000</v>
      </c>
      <c r="D78" s="94">
        <v>295000</v>
      </c>
      <c r="E78" s="165">
        <v>325000</v>
      </c>
      <c r="F78" s="95">
        <f t="shared" si="1"/>
        <v>310000</v>
      </c>
      <c r="G78" s="153"/>
    </row>
    <row r="79" spans="1:8" ht="19.5" customHeight="1">
      <c r="A79" s="149" t="s">
        <v>464</v>
      </c>
      <c r="B79" s="100" t="s">
        <v>5</v>
      </c>
      <c r="C79" s="173">
        <v>680000</v>
      </c>
      <c r="D79" s="94"/>
      <c r="E79" s="165"/>
      <c r="F79" s="95">
        <f t="shared" si="1"/>
        <v>680000</v>
      </c>
      <c r="G79" s="153"/>
    </row>
    <row r="80" spans="1:8">
      <c r="A80" s="149" t="s">
        <v>567</v>
      </c>
      <c r="B80" s="100" t="s">
        <v>73</v>
      </c>
      <c r="C80" s="173">
        <v>80000</v>
      </c>
      <c r="D80" s="94"/>
      <c r="E80" s="165"/>
      <c r="F80" s="95">
        <f t="shared" si="1"/>
        <v>80000</v>
      </c>
      <c r="G80" s="153"/>
    </row>
    <row r="81" spans="1:7">
      <c r="A81" s="149" t="s">
        <v>568</v>
      </c>
      <c r="B81" s="100" t="s">
        <v>73</v>
      </c>
      <c r="C81" s="173">
        <v>40000</v>
      </c>
      <c r="D81" s="94"/>
      <c r="E81" s="165"/>
      <c r="F81" s="95">
        <f t="shared" si="1"/>
        <v>40000</v>
      </c>
      <c r="G81" s="153"/>
    </row>
    <row r="82" spans="1:7">
      <c r="A82" s="149" t="s">
        <v>569</v>
      </c>
      <c r="B82" s="100" t="s">
        <v>5</v>
      </c>
      <c r="C82" s="173">
        <v>1200000</v>
      </c>
      <c r="D82" s="94"/>
      <c r="E82" s="165"/>
      <c r="F82" s="95">
        <f t="shared" si="1"/>
        <v>1200000</v>
      </c>
      <c r="G82" s="153"/>
    </row>
    <row r="83" spans="1:7" ht="28.8">
      <c r="A83" s="151" t="s">
        <v>570</v>
      </c>
      <c r="B83" s="100" t="s">
        <v>5</v>
      </c>
      <c r="C83" s="173">
        <v>750000</v>
      </c>
      <c r="D83" s="94"/>
      <c r="E83" s="165"/>
      <c r="F83" s="95">
        <f t="shared" si="1"/>
        <v>750000</v>
      </c>
      <c r="G83" s="153"/>
    </row>
    <row r="84" spans="1:7" ht="32.25" customHeight="1">
      <c r="A84" s="151" t="s">
        <v>571</v>
      </c>
      <c r="B84" s="100" t="s">
        <v>5</v>
      </c>
      <c r="C84" s="173">
        <v>3500</v>
      </c>
      <c r="D84" s="94"/>
      <c r="E84" s="165"/>
      <c r="F84" s="95">
        <f t="shared" si="1"/>
        <v>3500</v>
      </c>
      <c r="G84" s="153"/>
    </row>
    <row r="85" spans="1:7" ht="28.8">
      <c r="A85" s="151" t="s">
        <v>572</v>
      </c>
      <c r="B85" s="100" t="s">
        <v>573</v>
      </c>
      <c r="C85" s="173">
        <v>155000</v>
      </c>
      <c r="D85" s="94"/>
      <c r="E85" s="165"/>
      <c r="F85" s="95">
        <f t="shared" si="1"/>
        <v>155000</v>
      </c>
      <c r="G85" s="153"/>
    </row>
    <row r="86" spans="1:7" ht="28.8">
      <c r="A86" s="151" t="s">
        <v>527</v>
      </c>
      <c r="B86" s="100" t="s">
        <v>5</v>
      </c>
      <c r="C86" s="165">
        <v>50000</v>
      </c>
      <c r="D86" s="94"/>
      <c r="E86" s="165"/>
      <c r="F86" s="95">
        <f t="shared" si="1"/>
        <v>50000</v>
      </c>
      <c r="G86" s="153"/>
    </row>
    <row r="87" spans="1:7">
      <c r="A87" s="172" t="s">
        <v>471</v>
      </c>
      <c r="B87" s="100" t="s">
        <v>5</v>
      </c>
      <c r="C87" s="173">
        <v>24000</v>
      </c>
      <c r="D87" s="94"/>
      <c r="E87" s="173"/>
      <c r="F87" s="95">
        <f t="shared" si="1"/>
        <v>24000</v>
      </c>
      <c r="G87" s="174"/>
    </row>
    <row r="88" spans="1:7">
      <c r="A88" s="149" t="s">
        <v>121</v>
      </c>
      <c r="B88" s="98">
        <v>0.25</v>
      </c>
      <c r="C88" s="94">
        <v>99000</v>
      </c>
      <c r="D88" s="94">
        <v>102000</v>
      </c>
      <c r="E88" s="88"/>
      <c r="F88" s="95">
        <f t="shared" si="1"/>
        <v>100500</v>
      </c>
      <c r="G88" s="153"/>
    </row>
    <row r="89" spans="1:7">
      <c r="A89" s="149" t="s">
        <v>574</v>
      </c>
      <c r="B89" s="98" t="s">
        <v>5</v>
      </c>
      <c r="C89" s="173">
        <v>156000</v>
      </c>
      <c r="D89" s="94"/>
      <c r="E89" s="88"/>
      <c r="F89" s="95">
        <f>+ROUND(AVERAGE(C89:E89),0)</f>
        <v>156000</v>
      </c>
      <c r="G89" s="153"/>
    </row>
    <row r="90" spans="1:7">
      <c r="A90" s="129" t="s">
        <v>104</v>
      </c>
      <c r="B90" s="4" t="s">
        <v>105</v>
      </c>
      <c r="C90" s="94">
        <v>285600</v>
      </c>
      <c r="D90" s="94">
        <v>295000</v>
      </c>
      <c r="E90" s="94"/>
      <c r="F90" s="95">
        <f t="shared" si="1"/>
        <v>290300</v>
      </c>
      <c r="G90" s="152"/>
    </row>
    <row r="91" spans="1:7">
      <c r="A91" s="149" t="s">
        <v>411</v>
      </c>
      <c r="B91" s="100" t="s">
        <v>9</v>
      </c>
      <c r="C91" s="165">
        <v>25000</v>
      </c>
      <c r="D91" s="94"/>
      <c r="E91" s="88"/>
      <c r="F91" s="95">
        <f t="shared" si="1"/>
        <v>25000</v>
      </c>
      <c r="G91" s="153"/>
    </row>
    <row r="92" spans="1:7">
      <c r="A92" s="149" t="s">
        <v>477</v>
      </c>
      <c r="B92" s="100" t="s">
        <v>9</v>
      </c>
      <c r="C92" s="165">
        <v>32000</v>
      </c>
      <c r="D92" s="94"/>
      <c r="E92" s="88"/>
      <c r="F92" s="95">
        <f t="shared" si="1"/>
        <v>32000</v>
      </c>
      <c r="G92" s="153"/>
    </row>
    <row r="93" spans="1:7">
      <c r="A93" s="149" t="s">
        <v>495</v>
      </c>
      <c r="B93" s="100" t="s">
        <v>5</v>
      </c>
      <c r="C93" s="165">
        <v>9000</v>
      </c>
      <c r="D93" s="94"/>
      <c r="E93" s="165"/>
      <c r="F93" s="95">
        <f t="shared" si="1"/>
        <v>9000</v>
      </c>
      <c r="G93" s="153"/>
    </row>
    <row r="94" spans="1:7" ht="28.8">
      <c r="A94" s="151" t="s">
        <v>479</v>
      </c>
      <c r="B94" s="100" t="s">
        <v>5</v>
      </c>
      <c r="C94" s="165">
        <v>700</v>
      </c>
      <c r="D94" s="94"/>
      <c r="E94" s="88"/>
      <c r="F94" s="95">
        <f t="shared" si="1"/>
        <v>700</v>
      </c>
      <c r="G94" s="153"/>
    </row>
    <row r="95" spans="1:7">
      <c r="A95" s="150" t="s">
        <v>100</v>
      </c>
      <c r="B95" s="93" t="s">
        <v>11</v>
      </c>
      <c r="C95" s="94"/>
      <c r="D95" s="94"/>
      <c r="E95" s="94">
        <v>69187</v>
      </c>
      <c r="F95" s="95">
        <f t="shared" si="1"/>
        <v>69187</v>
      </c>
      <c r="G95" s="154">
        <v>120</v>
      </c>
    </row>
    <row r="96" spans="1:7">
      <c r="A96" s="149" t="s">
        <v>379</v>
      </c>
      <c r="B96" s="100" t="s">
        <v>5</v>
      </c>
      <c r="C96" s="165">
        <v>19000</v>
      </c>
      <c r="D96" s="94">
        <v>21000</v>
      </c>
      <c r="E96" s="165">
        <v>23000</v>
      </c>
      <c r="F96" s="95">
        <f t="shared" si="1"/>
        <v>21000</v>
      </c>
      <c r="G96" s="153"/>
    </row>
    <row r="97" spans="1:7">
      <c r="A97" s="149" t="s">
        <v>478</v>
      </c>
      <c r="B97" s="100" t="s">
        <v>5</v>
      </c>
      <c r="C97" s="165">
        <v>48000</v>
      </c>
      <c r="D97" s="94"/>
      <c r="E97" s="88"/>
      <c r="F97" s="95">
        <f t="shared" si="1"/>
        <v>48000</v>
      </c>
      <c r="G97" s="153"/>
    </row>
    <row r="98" spans="1:7">
      <c r="A98" s="129" t="s">
        <v>108</v>
      </c>
      <c r="B98" s="4" t="s">
        <v>84</v>
      </c>
      <c r="C98" s="94">
        <v>20000</v>
      </c>
      <c r="D98" s="94">
        <v>2200</v>
      </c>
      <c r="E98" s="94"/>
      <c r="F98" s="95">
        <f t="shared" si="1"/>
        <v>11100</v>
      </c>
      <c r="G98" s="152"/>
    </row>
    <row r="99" spans="1:7">
      <c r="A99" s="149" t="s">
        <v>123</v>
      </c>
      <c r="B99" s="100" t="s">
        <v>84</v>
      </c>
      <c r="C99" s="94">
        <v>28000</v>
      </c>
      <c r="D99" s="94">
        <v>29200</v>
      </c>
      <c r="E99" s="88"/>
      <c r="F99" s="95">
        <f t="shared" si="1"/>
        <v>28600</v>
      </c>
      <c r="G99" s="153"/>
    </row>
    <row r="100" spans="1:7">
      <c r="A100" s="129" t="s">
        <v>107</v>
      </c>
      <c r="B100" s="4" t="s">
        <v>84</v>
      </c>
      <c r="C100" s="94">
        <v>89999</v>
      </c>
      <c r="D100" s="94">
        <v>94500</v>
      </c>
      <c r="E100" s="94"/>
      <c r="F100" s="95">
        <f t="shared" si="1"/>
        <v>92250</v>
      </c>
      <c r="G100" s="152"/>
    </row>
    <row r="101" spans="1:7">
      <c r="A101" s="149" t="s">
        <v>575</v>
      </c>
      <c r="B101" s="100" t="s">
        <v>5</v>
      </c>
      <c r="C101" s="173">
        <v>5200</v>
      </c>
      <c r="D101" s="94"/>
      <c r="E101" s="165"/>
      <c r="F101" s="95">
        <f t="shared" si="1"/>
        <v>5200</v>
      </c>
      <c r="G101" s="153"/>
    </row>
    <row r="102" spans="1:7">
      <c r="A102" s="149" t="s">
        <v>377</v>
      </c>
      <c r="B102" s="100" t="s">
        <v>5</v>
      </c>
      <c r="C102" s="165">
        <v>2600</v>
      </c>
      <c r="D102" s="94">
        <v>2800</v>
      </c>
      <c r="E102" s="165">
        <v>3000</v>
      </c>
      <c r="F102" s="95">
        <f t="shared" si="1"/>
        <v>2800</v>
      </c>
      <c r="G102" s="153"/>
    </row>
    <row r="103" spans="1:7" ht="33" customHeight="1">
      <c r="A103" s="149" t="s">
        <v>488</v>
      </c>
      <c r="B103" s="4" t="s">
        <v>84</v>
      </c>
      <c r="C103" s="94">
        <v>1000</v>
      </c>
      <c r="D103" s="94">
        <v>1100</v>
      </c>
      <c r="E103" s="88"/>
      <c r="F103" s="95">
        <f t="shared" si="1"/>
        <v>1050</v>
      </c>
      <c r="G103" s="153"/>
    </row>
    <row r="104" spans="1:7">
      <c r="A104" s="172" t="s">
        <v>489</v>
      </c>
      <c r="B104" s="100" t="s">
        <v>5</v>
      </c>
      <c r="C104" s="173">
        <v>7000</v>
      </c>
      <c r="D104" s="94"/>
      <c r="E104" s="173"/>
      <c r="F104" s="95">
        <f t="shared" si="1"/>
        <v>7000</v>
      </c>
      <c r="G104" s="174"/>
    </row>
    <row r="105" spans="1:7">
      <c r="A105" s="149" t="s">
        <v>112</v>
      </c>
      <c r="B105" s="100" t="s">
        <v>113</v>
      </c>
      <c r="C105" s="94">
        <v>50000</v>
      </c>
      <c r="D105" s="94">
        <v>65000</v>
      </c>
      <c r="E105" s="88"/>
      <c r="F105" s="95">
        <f t="shared" si="1"/>
        <v>57500</v>
      </c>
      <c r="G105" s="153"/>
    </row>
    <row r="106" spans="1:7">
      <c r="A106" s="159" t="s">
        <v>125</v>
      </c>
      <c r="B106" s="167" t="s">
        <v>84</v>
      </c>
      <c r="C106" s="161">
        <v>13500</v>
      </c>
      <c r="D106" s="161">
        <v>13900</v>
      </c>
      <c r="E106" s="160"/>
      <c r="F106" s="162">
        <f t="shared" si="1"/>
        <v>13700</v>
      </c>
      <c r="G106" s="163"/>
    </row>
    <row r="107" spans="1:7">
      <c r="A107" s="89"/>
      <c r="B107" s="148"/>
      <c r="C107" s="89"/>
      <c r="D107" s="89"/>
      <c r="E107" s="89"/>
      <c r="F107" s="89"/>
      <c r="G107" s="89"/>
    </row>
    <row r="108" spans="1:7">
      <c r="A108" s="89"/>
      <c r="B108" s="148"/>
      <c r="C108" s="89"/>
      <c r="D108" s="89"/>
      <c r="E108" s="89"/>
      <c r="F108" s="89"/>
      <c r="G108" s="89"/>
    </row>
    <row r="109" spans="1:7" ht="24" customHeight="1">
      <c r="A109" s="89"/>
      <c r="B109" s="148"/>
      <c r="C109" s="89"/>
      <c r="D109" s="89"/>
      <c r="E109" s="89"/>
      <c r="F109" s="89"/>
      <c r="G109" s="89"/>
    </row>
    <row r="110" spans="1:7">
      <c r="A110" s="89"/>
      <c r="B110" s="148"/>
      <c r="C110" s="89"/>
      <c r="D110" s="89"/>
      <c r="E110" s="89"/>
      <c r="F110" s="89"/>
      <c r="G110" s="89"/>
    </row>
    <row r="111" spans="1:7">
      <c r="A111" s="89"/>
      <c r="B111" s="148"/>
      <c r="C111" s="89"/>
      <c r="D111" s="89"/>
      <c r="E111" s="89"/>
      <c r="F111" s="89"/>
      <c r="G111" s="89"/>
    </row>
    <row r="112" spans="1:7">
      <c r="A112" s="89"/>
      <c r="B112" s="148"/>
      <c r="C112" s="89"/>
      <c r="D112" s="89"/>
      <c r="E112" s="89"/>
      <c r="F112" s="89"/>
      <c r="G112" s="89"/>
    </row>
    <row r="113" spans="1:7">
      <c r="A113" s="89"/>
      <c r="B113" s="148"/>
      <c r="C113" s="89"/>
      <c r="D113" s="89"/>
      <c r="E113" s="89"/>
      <c r="F113" s="89"/>
      <c r="G113" s="89"/>
    </row>
    <row r="114" spans="1:7">
      <c r="A114" s="89"/>
      <c r="B114" s="148"/>
      <c r="C114" s="89"/>
      <c r="D114" s="89"/>
      <c r="E114" s="89"/>
      <c r="F114" s="89"/>
      <c r="G114" s="89"/>
    </row>
    <row r="115" spans="1:7">
      <c r="A115" s="89"/>
      <c r="B115" s="148"/>
      <c r="C115" s="89"/>
      <c r="D115" s="89"/>
      <c r="E115" s="89"/>
      <c r="F115" s="89"/>
      <c r="G115" s="89"/>
    </row>
  </sheetData>
  <sortState xmlns:xlrd2="http://schemas.microsoft.com/office/spreadsheetml/2017/richdata2" ref="A2:G81">
    <sortCondition ref="A2:A81"/>
  </sortState>
  <pageMargins left="0.7" right="0.7" top="0.75" bottom="0.75" header="0.3" footer="0.3"/>
  <pageSetup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179B3-1728-4CCC-BFAD-96C51FB2754E}">
  <sheetPr>
    <tabColor rgb="FF00B050"/>
  </sheetPr>
  <dimension ref="B2:K78"/>
  <sheetViews>
    <sheetView topLeftCell="A4" workbookViewId="0">
      <selection activeCell="G7" sqref="G7:H7"/>
    </sheetView>
  </sheetViews>
  <sheetFormatPr baseColWidth="10" defaultColWidth="11.44140625" defaultRowHeight="13.2"/>
  <cols>
    <col min="1" max="5" width="11.44140625" style="104"/>
    <col min="6" max="6" width="33.33203125" style="104" customWidth="1"/>
    <col min="7" max="16384" width="11.44140625" style="104"/>
  </cols>
  <sheetData>
    <row r="2" spans="2:11" ht="18">
      <c r="B2" s="521" t="s">
        <v>138</v>
      </c>
      <c r="C2" s="522"/>
      <c r="D2" s="522"/>
      <c r="E2" s="522"/>
      <c r="F2" s="522"/>
      <c r="G2" s="522"/>
      <c r="H2" s="523"/>
    </row>
    <row r="3" spans="2:11" ht="15.6">
      <c r="B3" s="524" t="s">
        <v>139</v>
      </c>
      <c r="C3" s="524"/>
      <c r="D3" s="525" t="s">
        <v>140</v>
      </c>
      <c r="E3" s="525"/>
      <c r="F3" s="105" t="s">
        <v>141</v>
      </c>
      <c r="G3" s="526" t="s">
        <v>142</v>
      </c>
      <c r="H3" s="524"/>
    </row>
    <row r="4" spans="2:11" ht="34.200000000000003" customHeight="1">
      <c r="B4" s="527" t="s">
        <v>143</v>
      </c>
      <c r="C4" s="527"/>
      <c r="D4" s="528" t="s">
        <v>144</v>
      </c>
      <c r="E4" s="529"/>
      <c r="F4" s="106">
        <v>1750905</v>
      </c>
      <c r="G4" s="530"/>
      <c r="H4" s="530"/>
    </row>
    <row r="5" spans="2:11" ht="34.200000000000003" customHeight="1">
      <c r="B5" s="527" t="s">
        <v>143</v>
      </c>
      <c r="C5" s="527"/>
      <c r="D5" s="528" t="s">
        <v>145</v>
      </c>
      <c r="E5" s="529"/>
      <c r="F5" s="107">
        <v>249095</v>
      </c>
      <c r="G5" s="530"/>
      <c r="H5" s="530"/>
    </row>
    <row r="6" spans="2:11" ht="34.200000000000003" customHeight="1">
      <c r="B6" s="527" t="s">
        <v>143</v>
      </c>
      <c r="C6" s="527"/>
      <c r="D6" s="531" t="s">
        <v>146</v>
      </c>
      <c r="E6" s="531"/>
      <c r="F6" s="106">
        <f>+F5+F4</f>
        <v>2000000</v>
      </c>
      <c r="G6" s="532"/>
      <c r="H6" s="533"/>
    </row>
    <row r="7" spans="2:11" ht="34.200000000000003" customHeight="1">
      <c r="B7" s="527" t="s">
        <v>147</v>
      </c>
      <c r="C7" s="527"/>
      <c r="D7" s="528" t="s">
        <v>148</v>
      </c>
      <c r="E7" s="529"/>
      <c r="F7" s="106">
        <f>+F6/30</f>
        <v>66666.666666666672</v>
      </c>
      <c r="G7" s="534"/>
      <c r="H7" s="535"/>
      <c r="K7" s="176">
        <f>+J7+F7</f>
        <v>66666.666666666672</v>
      </c>
    </row>
    <row r="8" spans="2:11" ht="34.200000000000003" customHeight="1">
      <c r="B8" s="527" t="s">
        <v>149</v>
      </c>
      <c r="C8" s="527"/>
      <c r="D8" s="528" t="s">
        <v>150</v>
      </c>
      <c r="E8" s="529"/>
      <c r="F8" s="108">
        <v>0.75</v>
      </c>
      <c r="G8" s="532"/>
      <c r="H8" s="533"/>
    </row>
    <row r="9" spans="2:11" ht="34.200000000000003" customHeight="1">
      <c r="B9" s="527" t="s">
        <v>147</v>
      </c>
      <c r="C9" s="527"/>
      <c r="D9" s="531" t="s">
        <v>151</v>
      </c>
      <c r="E9" s="531"/>
      <c r="F9" s="106">
        <f>+F7*(1+F8)</f>
        <v>116666.66666666667</v>
      </c>
      <c r="G9" s="532"/>
      <c r="H9" s="533"/>
    </row>
    <row r="10" spans="2:11" ht="34.200000000000003" customHeight="1">
      <c r="B10" s="527" t="s">
        <v>143</v>
      </c>
      <c r="C10" s="527"/>
      <c r="D10" s="531" t="s">
        <v>152</v>
      </c>
      <c r="E10" s="531"/>
      <c r="F10" s="106">
        <f>+F9*30</f>
        <v>3500000</v>
      </c>
      <c r="G10" s="532"/>
      <c r="H10" s="533"/>
    </row>
    <row r="11" spans="2:11" ht="15.6">
      <c r="B11" s="536"/>
      <c r="C11" s="537"/>
      <c r="D11" s="537"/>
      <c r="E11" s="537"/>
      <c r="F11" s="537"/>
      <c r="G11" s="537"/>
      <c r="H11" s="537"/>
    </row>
    <row r="12" spans="2:11" ht="46.8">
      <c r="B12" s="109" t="s">
        <v>153</v>
      </c>
      <c r="C12" s="110" t="s">
        <v>154</v>
      </c>
      <c r="D12" s="110" t="s">
        <v>139</v>
      </c>
      <c r="E12" s="110" t="s">
        <v>155</v>
      </c>
      <c r="F12" s="111" t="s">
        <v>156</v>
      </c>
      <c r="G12" s="112" t="s">
        <v>157</v>
      </c>
      <c r="H12" s="113" t="s">
        <v>142</v>
      </c>
    </row>
    <row r="13" spans="2:11" ht="15.6">
      <c r="B13" s="114">
        <v>1</v>
      </c>
      <c r="C13" s="115" t="s">
        <v>158</v>
      </c>
      <c r="D13" s="115" t="s">
        <v>147</v>
      </c>
      <c r="E13" s="116" t="s">
        <v>159</v>
      </c>
      <c r="F13" s="117">
        <f>$F$9*G13</f>
        <v>291666.66666666669</v>
      </c>
      <c r="G13" s="118">
        <v>2.5</v>
      </c>
      <c r="H13" s="119"/>
    </row>
    <row r="14" spans="2:11" ht="15.6">
      <c r="B14" s="114">
        <v>2</v>
      </c>
      <c r="C14" s="115" t="s">
        <v>160</v>
      </c>
      <c r="D14" s="115" t="s">
        <v>147</v>
      </c>
      <c r="E14" s="116" t="s">
        <v>161</v>
      </c>
      <c r="F14" s="117">
        <f t="shared" ref="F14:F77" si="0">$F$9*G14</f>
        <v>116666.66666666667</v>
      </c>
      <c r="G14" s="118">
        <v>1</v>
      </c>
      <c r="H14" s="119"/>
      <c r="J14" s="104">
        <f>+F14/8</f>
        <v>14583.333333333334</v>
      </c>
    </row>
    <row r="15" spans="2:11" ht="15.6">
      <c r="B15" s="114">
        <v>3</v>
      </c>
      <c r="C15" s="115" t="s">
        <v>162</v>
      </c>
      <c r="D15" s="115" t="s">
        <v>147</v>
      </c>
      <c r="E15" s="116" t="s">
        <v>163</v>
      </c>
      <c r="F15" s="117">
        <f t="shared" si="0"/>
        <v>122500.00000000001</v>
      </c>
      <c r="G15" s="118">
        <v>1.05</v>
      </c>
      <c r="H15" s="119"/>
    </row>
    <row r="16" spans="2:11" ht="15.6">
      <c r="B16" s="114">
        <v>4</v>
      </c>
      <c r="C16" s="115" t="s">
        <v>164</v>
      </c>
      <c r="D16" s="115" t="s">
        <v>147</v>
      </c>
      <c r="E16" s="116" t="s">
        <v>165</v>
      </c>
      <c r="F16" s="117">
        <f t="shared" si="0"/>
        <v>116666.66666666667</v>
      </c>
      <c r="G16" s="118">
        <v>1</v>
      </c>
      <c r="H16" s="120"/>
      <c r="J16" s="104">
        <f>+F16/8</f>
        <v>14583.333333333334</v>
      </c>
    </row>
    <row r="17" spans="2:8" ht="15.6">
      <c r="B17" s="114">
        <v>5</v>
      </c>
      <c r="C17" s="115" t="s">
        <v>166</v>
      </c>
      <c r="D17" s="115" t="s">
        <v>147</v>
      </c>
      <c r="E17" s="116" t="s">
        <v>167</v>
      </c>
      <c r="F17" s="117">
        <f t="shared" si="0"/>
        <v>233333.33333333334</v>
      </c>
      <c r="G17" s="118">
        <v>2</v>
      </c>
      <c r="H17" s="119"/>
    </row>
    <row r="18" spans="2:8" ht="15.6">
      <c r="B18" s="114">
        <v>6</v>
      </c>
      <c r="C18" s="115" t="s">
        <v>168</v>
      </c>
      <c r="D18" s="115" t="s">
        <v>147</v>
      </c>
      <c r="E18" s="116" t="s">
        <v>169</v>
      </c>
      <c r="F18" s="117">
        <f t="shared" si="0"/>
        <v>350000</v>
      </c>
      <c r="G18" s="118">
        <v>3</v>
      </c>
      <c r="H18" s="119"/>
    </row>
    <row r="19" spans="2:8" ht="15.6">
      <c r="B19" s="114">
        <v>7</v>
      </c>
      <c r="C19" s="115" t="s">
        <v>170</v>
      </c>
      <c r="D19" s="115" t="s">
        <v>147</v>
      </c>
      <c r="E19" s="116" t="s">
        <v>171</v>
      </c>
      <c r="F19" s="117">
        <f t="shared" si="0"/>
        <v>466666.66666666669</v>
      </c>
      <c r="G19" s="118">
        <v>4</v>
      </c>
      <c r="H19" s="121"/>
    </row>
    <row r="20" spans="2:8" ht="15.6">
      <c r="B20" s="114">
        <v>8</v>
      </c>
      <c r="C20" s="115" t="s">
        <v>172</v>
      </c>
      <c r="D20" s="115" t="s">
        <v>147</v>
      </c>
      <c r="E20" s="116" t="s">
        <v>173</v>
      </c>
      <c r="F20" s="117">
        <f t="shared" si="0"/>
        <v>583333.33333333337</v>
      </c>
      <c r="G20" s="118">
        <v>5</v>
      </c>
      <c r="H20" s="119"/>
    </row>
    <row r="21" spans="2:8" ht="15.6">
      <c r="B21" s="114">
        <v>9</v>
      </c>
      <c r="C21" s="115" t="s">
        <v>174</v>
      </c>
      <c r="D21" s="115" t="s">
        <v>147</v>
      </c>
      <c r="E21" s="116" t="s">
        <v>175</v>
      </c>
      <c r="F21" s="117">
        <f t="shared" si="0"/>
        <v>700000</v>
      </c>
      <c r="G21" s="118">
        <v>6</v>
      </c>
      <c r="H21" s="119"/>
    </row>
    <row r="22" spans="2:8" ht="15.6">
      <c r="B22" s="114">
        <v>10</v>
      </c>
      <c r="C22" s="115" t="s">
        <v>176</v>
      </c>
      <c r="D22" s="115" t="s">
        <v>147</v>
      </c>
      <c r="E22" s="116" t="s">
        <v>177</v>
      </c>
      <c r="F22" s="117">
        <f t="shared" si="0"/>
        <v>816666.66666666674</v>
      </c>
      <c r="G22" s="118">
        <v>7</v>
      </c>
      <c r="H22" s="119"/>
    </row>
    <row r="23" spans="2:8" ht="15.6">
      <c r="B23" s="114">
        <v>11</v>
      </c>
      <c r="C23" s="115" t="s">
        <v>178</v>
      </c>
      <c r="D23" s="115" t="s">
        <v>147</v>
      </c>
      <c r="E23" s="116" t="s">
        <v>179</v>
      </c>
      <c r="F23" s="117">
        <f t="shared" si="0"/>
        <v>933333.33333333337</v>
      </c>
      <c r="G23" s="118">
        <v>8</v>
      </c>
      <c r="H23" s="119"/>
    </row>
    <row r="24" spans="2:8" ht="15.6">
      <c r="B24" s="114">
        <v>12</v>
      </c>
      <c r="C24" s="115" t="s">
        <v>180</v>
      </c>
      <c r="D24" s="115" t="s">
        <v>147</v>
      </c>
      <c r="E24" s="116" t="s">
        <v>181</v>
      </c>
      <c r="F24" s="117">
        <f t="shared" si="0"/>
        <v>1050000</v>
      </c>
      <c r="G24" s="118">
        <v>9</v>
      </c>
      <c r="H24" s="119"/>
    </row>
    <row r="25" spans="2:8" ht="15.6">
      <c r="B25" s="114">
        <v>13</v>
      </c>
      <c r="C25" s="115" t="s">
        <v>182</v>
      </c>
      <c r="D25" s="115" t="s">
        <v>147</v>
      </c>
      <c r="E25" s="116" t="s">
        <v>183</v>
      </c>
      <c r="F25" s="117">
        <f t="shared" si="0"/>
        <v>1166666.6666666667</v>
      </c>
      <c r="G25" s="118">
        <v>10</v>
      </c>
      <c r="H25" s="119"/>
    </row>
    <row r="26" spans="2:8" ht="43.2">
      <c r="B26" s="114">
        <v>14</v>
      </c>
      <c r="C26" s="115" t="s">
        <v>184</v>
      </c>
      <c r="D26" s="115" t="s">
        <v>147</v>
      </c>
      <c r="E26" s="116" t="s">
        <v>185</v>
      </c>
      <c r="F26" s="117">
        <f t="shared" si="0"/>
        <v>122500.00000000001</v>
      </c>
      <c r="G26" s="118">
        <v>1.05</v>
      </c>
      <c r="H26" s="119"/>
    </row>
    <row r="27" spans="2:8" ht="28.8">
      <c r="B27" s="114">
        <v>15</v>
      </c>
      <c r="C27" s="115" t="s">
        <v>186</v>
      </c>
      <c r="D27" s="115" t="s">
        <v>147</v>
      </c>
      <c r="E27" s="116" t="s">
        <v>187</v>
      </c>
      <c r="F27" s="117">
        <f t="shared" si="0"/>
        <v>116666.66666666667</v>
      </c>
      <c r="G27" s="118">
        <v>1</v>
      </c>
      <c r="H27" s="119"/>
    </row>
    <row r="28" spans="2:8" ht="28.8">
      <c r="B28" s="114">
        <v>16</v>
      </c>
      <c r="C28" s="115" t="s">
        <v>188</v>
      </c>
      <c r="D28" s="115" t="s">
        <v>147</v>
      </c>
      <c r="E28" s="116" t="s">
        <v>189</v>
      </c>
      <c r="F28" s="117">
        <f t="shared" si="0"/>
        <v>218166.66666666669</v>
      </c>
      <c r="G28" s="118">
        <v>1.87</v>
      </c>
      <c r="H28" s="119"/>
    </row>
    <row r="29" spans="2:8" ht="28.8">
      <c r="B29" s="114">
        <v>17</v>
      </c>
      <c r="C29" s="115" t="s">
        <v>190</v>
      </c>
      <c r="D29" s="115" t="s">
        <v>147</v>
      </c>
      <c r="E29" s="116" t="s">
        <v>191</v>
      </c>
      <c r="F29" s="117">
        <f t="shared" si="0"/>
        <v>116666.66666666667</v>
      </c>
      <c r="G29" s="118">
        <v>1</v>
      </c>
      <c r="H29" s="119"/>
    </row>
    <row r="30" spans="2:8" ht="28.8">
      <c r="B30" s="114">
        <v>18</v>
      </c>
      <c r="C30" s="115" t="s">
        <v>192</v>
      </c>
      <c r="D30" s="115" t="s">
        <v>147</v>
      </c>
      <c r="E30" s="116" t="s">
        <v>193</v>
      </c>
      <c r="F30" s="117">
        <f t="shared" si="0"/>
        <v>218166.66666666669</v>
      </c>
      <c r="G30" s="118">
        <v>1.87</v>
      </c>
      <c r="H30" s="119"/>
    </row>
    <row r="31" spans="2:8" ht="15.6">
      <c r="B31" s="114">
        <v>19</v>
      </c>
      <c r="C31" s="122" t="s">
        <v>194</v>
      </c>
      <c r="D31" s="115" t="s">
        <v>147</v>
      </c>
      <c r="E31" s="116" t="s">
        <v>195</v>
      </c>
      <c r="F31" s="117">
        <f t="shared" si="0"/>
        <v>198333.33333333334</v>
      </c>
      <c r="G31" s="118">
        <v>1.7</v>
      </c>
      <c r="H31" s="120"/>
    </row>
    <row r="32" spans="2:8" ht="15.6">
      <c r="B32" s="114">
        <v>20</v>
      </c>
      <c r="C32" s="115" t="s">
        <v>196</v>
      </c>
      <c r="D32" s="115" t="s">
        <v>147</v>
      </c>
      <c r="E32" s="116" t="s">
        <v>197</v>
      </c>
      <c r="F32" s="117">
        <f t="shared" si="0"/>
        <v>396666.66666666669</v>
      </c>
      <c r="G32" s="118">
        <v>3.4</v>
      </c>
      <c r="H32" s="119"/>
    </row>
    <row r="33" spans="2:8" ht="15.6">
      <c r="B33" s="114">
        <v>21</v>
      </c>
      <c r="C33" s="115" t="s">
        <v>198</v>
      </c>
      <c r="D33" s="115" t="s">
        <v>147</v>
      </c>
      <c r="E33" s="116" t="s">
        <v>199</v>
      </c>
      <c r="F33" s="117">
        <f t="shared" si="0"/>
        <v>595000</v>
      </c>
      <c r="G33" s="118">
        <v>5.0999999999999996</v>
      </c>
      <c r="H33" s="119"/>
    </row>
    <row r="34" spans="2:8" ht="72">
      <c r="B34" s="114">
        <v>22</v>
      </c>
      <c r="C34" s="115" t="s">
        <v>200</v>
      </c>
      <c r="D34" s="115" t="s">
        <v>147</v>
      </c>
      <c r="E34" s="116" t="s">
        <v>201</v>
      </c>
      <c r="F34" s="117">
        <f t="shared" si="0"/>
        <v>565833.33333333337</v>
      </c>
      <c r="G34" s="118">
        <v>4.8499999999999996</v>
      </c>
      <c r="H34" s="119"/>
    </row>
    <row r="35" spans="2:8" ht="43.2">
      <c r="B35" s="114">
        <v>23</v>
      </c>
      <c r="C35" s="115" t="s">
        <v>202</v>
      </c>
      <c r="D35" s="115" t="s">
        <v>147</v>
      </c>
      <c r="E35" s="116" t="s">
        <v>203</v>
      </c>
      <c r="F35" s="117">
        <f t="shared" si="0"/>
        <v>233333.33333333334</v>
      </c>
      <c r="G35" s="118">
        <v>2</v>
      </c>
      <c r="H35" s="119"/>
    </row>
    <row r="36" spans="2:8" ht="43.2">
      <c r="B36" s="114">
        <v>24</v>
      </c>
      <c r="C36" s="115" t="s">
        <v>204</v>
      </c>
      <c r="D36" s="115" t="s">
        <v>147</v>
      </c>
      <c r="E36" s="116" t="s">
        <v>205</v>
      </c>
      <c r="F36" s="117">
        <f t="shared" si="0"/>
        <v>239166.66666666666</v>
      </c>
      <c r="G36" s="118">
        <v>2.0499999999999998</v>
      </c>
      <c r="H36" s="119"/>
    </row>
    <row r="37" spans="2:8" ht="72">
      <c r="B37" s="114">
        <v>25</v>
      </c>
      <c r="C37" s="115" t="s">
        <v>206</v>
      </c>
      <c r="D37" s="115" t="s">
        <v>147</v>
      </c>
      <c r="E37" s="116" t="s">
        <v>207</v>
      </c>
      <c r="F37" s="117">
        <f t="shared" si="0"/>
        <v>548333.33333333337</v>
      </c>
      <c r="G37" s="118">
        <v>4.7</v>
      </c>
      <c r="H37" s="119"/>
    </row>
    <row r="38" spans="2:8" ht="28.8">
      <c r="B38" s="114">
        <v>26</v>
      </c>
      <c r="C38" s="115" t="s">
        <v>208</v>
      </c>
      <c r="D38" s="115" t="s">
        <v>147</v>
      </c>
      <c r="E38" s="116" t="s">
        <v>209</v>
      </c>
      <c r="F38" s="117">
        <f t="shared" si="0"/>
        <v>315000.00000000006</v>
      </c>
      <c r="G38" s="118">
        <v>2.7</v>
      </c>
      <c r="H38" s="119"/>
    </row>
    <row r="39" spans="2:8" ht="43.2">
      <c r="B39" s="114">
        <v>27</v>
      </c>
      <c r="C39" s="115" t="s">
        <v>210</v>
      </c>
      <c r="D39" s="115" t="s">
        <v>147</v>
      </c>
      <c r="E39" s="116" t="s">
        <v>211</v>
      </c>
      <c r="F39" s="117">
        <f t="shared" si="0"/>
        <v>431666.66666666669</v>
      </c>
      <c r="G39" s="118">
        <v>3.7</v>
      </c>
      <c r="H39" s="119"/>
    </row>
    <row r="40" spans="2:8" ht="43.2">
      <c r="B40" s="114">
        <v>28</v>
      </c>
      <c r="C40" s="115" t="s">
        <v>212</v>
      </c>
      <c r="D40" s="115" t="s">
        <v>147</v>
      </c>
      <c r="E40" s="116" t="s">
        <v>213</v>
      </c>
      <c r="F40" s="117">
        <f t="shared" si="0"/>
        <v>665000</v>
      </c>
      <c r="G40" s="118">
        <v>5.7</v>
      </c>
      <c r="H40" s="119"/>
    </row>
    <row r="41" spans="2:8" ht="57.6">
      <c r="B41" s="114">
        <v>29</v>
      </c>
      <c r="C41" s="115" t="s">
        <v>214</v>
      </c>
      <c r="D41" s="115" t="s">
        <v>147</v>
      </c>
      <c r="E41" s="116" t="s">
        <v>215</v>
      </c>
      <c r="F41" s="117">
        <f t="shared" si="0"/>
        <v>1093166.6666666665</v>
      </c>
      <c r="G41" s="118">
        <v>9.3699999999999992</v>
      </c>
      <c r="H41" s="119"/>
    </row>
    <row r="42" spans="2:8" ht="28.8">
      <c r="B42" s="114">
        <v>30</v>
      </c>
      <c r="C42" s="115" t="s">
        <v>216</v>
      </c>
      <c r="D42" s="115" t="s">
        <v>147</v>
      </c>
      <c r="E42" s="116" t="s">
        <v>217</v>
      </c>
      <c r="F42" s="117">
        <f t="shared" si="0"/>
        <v>596166.66666666674</v>
      </c>
      <c r="G42" s="118">
        <v>5.1100000000000003</v>
      </c>
      <c r="H42" s="119"/>
    </row>
    <row r="43" spans="2:8" ht="15.6">
      <c r="B43" s="114">
        <v>31</v>
      </c>
      <c r="C43" s="115" t="s">
        <v>218</v>
      </c>
      <c r="D43" s="115" t="s">
        <v>147</v>
      </c>
      <c r="E43" s="116" t="s">
        <v>219</v>
      </c>
      <c r="F43" s="117">
        <f t="shared" si="0"/>
        <v>134166.66666666666</v>
      </c>
      <c r="G43" s="118">
        <v>1.1499999999999999</v>
      </c>
      <c r="H43" s="119"/>
    </row>
    <row r="44" spans="2:8" ht="28.8">
      <c r="B44" s="114">
        <v>32</v>
      </c>
      <c r="C44" s="115" t="s">
        <v>220</v>
      </c>
      <c r="D44" s="115" t="s">
        <v>147</v>
      </c>
      <c r="E44" s="116" t="s">
        <v>221</v>
      </c>
      <c r="F44" s="117">
        <f t="shared" si="0"/>
        <v>268333.33333333331</v>
      </c>
      <c r="G44" s="118">
        <v>2.2999999999999998</v>
      </c>
      <c r="H44" s="119"/>
    </row>
    <row r="45" spans="2:8" ht="15.6">
      <c r="B45" s="114">
        <v>33</v>
      </c>
      <c r="C45" s="115" t="s">
        <v>222</v>
      </c>
      <c r="D45" s="115" t="s">
        <v>147</v>
      </c>
      <c r="E45" s="116" t="s">
        <v>223</v>
      </c>
      <c r="F45" s="117">
        <f t="shared" si="0"/>
        <v>233333.33333333334</v>
      </c>
      <c r="G45" s="118">
        <v>2</v>
      </c>
      <c r="H45" s="119"/>
    </row>
    <row r="46" spans="2:8" ht="15.6">
      <c r="B46" s="114">
        <v>34</v>
      </c>
      <c r="C46" s="115" t="s">
        <v>224</v>
      </c>
      <c r="D46" s="115" t="s">
        <v>147</v>
      </c>
      <c r="E46" s="116" t="s">
        <v>225</v>
      </c>
      <c r="F46" s="117">
        <f t="shared" si="0"/>
        <v>122500.00000000001</v>
      </c>
      <c r="G46" s="118">
        <v>1.05</v>
      </c>
      <c r="H46" s="119"/>
    </row>
    <row r="47" spans="2:8" ht="15.6">
      <c r="B47" s="114">
        <v>35</v>
      </c>
      <c r="C47" s="115" t="s">
        <v>226</v>
      </c>
      <c r="D47" s="115" t="s">
        <v>147</v>
      </c>
      <c r="E47" s="116" t="s">
        <v>227</v>
      </c>
      <c r="F47" s="117">
        <f t="shared" si="0"/>
        <v>116666.66666666667</v>
      </c>
      <c r="G47" s="118">
        <v>1</v>
      </c>
      <c r="H47" s="119"/>
    </row>
    <row r="48" spans="2:8" ht="15.6">
      <c r="B48" s="114">
        <v>36</v>
      </c>
      <c r="C48" s="115" t="s">
        <v>228</v>
      </c>
      <c r="D48" s="115" t="s">
        <v>147</v>
      </c>
      <c r="E48" s="116" t="s">
        <v>229</v>
      </c>
      <c r="F48" s="117">
        <f t="shared" si="0"/>
        <v>233333.33333333334</v>
      </c>
      <c r="G48" s="118">
        <v>2</v>
      </c>
      <c r="H48" s="119"/>
    </row>
    <row r="49" spans="2:8" ht="15.6">
      <c r="B49" s="114">
        <v>37</v>
      </c>
      <c r="C49" s="115" t="s">
        <v>230</v>
      </c>
      <c r="D49" s="115" t="s">
        <v>147</v>
      </c>
      <c r="E49" s="116" t="s">
        <v>231</v>
      </c>
      <c r="F49" s="117">
        <f t="shared" si="0"/>
        <v>149333.33333333334</v>
      </c>
      <c r="G49" s="118">
        <v>1.28</v>
      </c>
      <c r="H49" s="119"/>
    </row>
    <row r="50" spans="2:8" ht="28.8">
      <c r="B50" s="114">
        <v>38</v>
      </c>
      <c r="C50" s="115" t="s">
        <v>232</v>
      </c>
      <c r="D50" s="115" t="s">
        <v>147</v>
      </c>
      <c r="E50" s="116" t="s">
        <v>233</v>
      </c>
      <c r="F50" s="117">
        <f t="shared" si="0"/>
        <v>298666.66666666669</v>
      </c>
      <c r="G50" s="118">
        <v>2.56</v>
      </c>
      <c r="H50" s="119"/>
    </row>
    <row r="51" spans="2:8" ht="15.6">
      <c r="B51" s="114">
        <v>39</v>
      </c>
      <c r="C51" s="115" t="s">
        <v>234</v>
      </c>
      <c r="D51" s="115" t="s">
        <v>147</v>
      </c>
      <c r="E51" s="116" t="s">
        <v>235</v>
      </c>
      <c r="F51" s="117">
        <f t="shared" si="0"/>
        <v>151666.66666666669</v>
      </c>
      <c r="G51" s="118">
        <v>1.3</v>
      </c>
      <c r="H51" s="119"/>
    </row>
    <row r="52" spans="2:8" ht="43.2">
      <c r="B52" s="114">
        <v>40</v>
      </c>
      <c r="C52" s="115" t="s">
        <v>236</v>
      </c>
      <c r="D52" s="115" t="s">
        <v>147</v>
      </c>
      <c r="E52" s="116" t="s">
        <v>237</v>
      </c>
      <c r="F52" s="117">
        <f t="shared" si="0"/>
        <v>248500</v>
      </c>
      <c r="G52" s="118">
        <v>2.13</v>
      </c>
      <c r="H52" s="119"/>
    </row>
    <row r="53" spans="2:8" ht="57.6">
      <c r="B53" s="114">
        <v>41</v>
      </c>
      <c r="C53" s="115" t="s">
        <v>238</v>
      </c>
      <c r="D53" s="115" t="s">
        <v>147</v>
      </c>
      <c r="E53" s="116" t="s">
        <v>239</v>
      </c>
      <c r="F53" s="117">
        <f t="shared" si="0"/>
        <v>248500</v>
      </c>
      <c r="G53" s="118">
        <v>2.13</v>
      </c>
      <c r="H53" s="119"/>
    </row>
    <row r="54" spans="2:8" ht="15.6">
      <c r="B54" s="114">
        <v>42</v>
      </c>
      <c r="C54" s="115" t="s">
        <v>240</v>
      </c>
      <c r="D54" s="115" t="s">
        <v>147</v>
      </c>
      <c r="E54" s="116" t="s">
        <v>241</v>
      </c>
      <c r="F54" s="117">
        <f t="shared" si="0"/>
        <v>198333.33333333334</v>
      </c>
      <c r="G54" s="118">
        <v>1.7</v>
      </c>
      <c r="H54" s="119"/>
    </row>
    <row r="55" spans="2:8" ht="57.6">
      <c r="B55" s="114">
        <v>43</v>
      </c>
      <c r="C55" s="115" t="s">
        <v>242</v>
      </c>
      <c r="D55" s="115" t="s">
        <v>147</v>
      </c>
      <c r="E55" s="116" t="s">
        <v>243</v>
      </c>
      <c r="F55" s="117">
        <f t="shared" si="0"/>
        <v>443333.33333333331</v>
      </c>
      <c r="G55" s="118">
        <v>3.8</v>
      </c>
      <c r="H55" s="119"/>
    </row>
    <row r="56" spans="2:8" ht="15.6">
      <c r="B56" s="114">
        <v>44</v>
      </c>
      <c r="C56" s="115" t="s">
        <v>244</v>
      </c>
      <c r="D56" s="115" t="s">
        <v>147</v>
      </c>
      <c r="E56" s="116" t="s">
        <v>245</v>
      </c>
      <c r="F56" s="117">
        <f t="shared" si="0"/>
        <v>198333.33333333334</v>
      </c>
      <c r="G56" s="118">
        <v>1.7</v>
      </c>
      <c r="H56" s="119"/>
    </row>
    <row r="57" spans="2:8" ht="15.6">
      <c r="B57" s="114">
        <v>45</v>
      </c>
      <c r="C57" s="115" t="s">
        <v>246</v>
      </c>
      <c r="D57" s="115" t="s">
        <v>147</v>
      </c>
      <c r="E57" s="116" t="s">
        <v>247</v>
      </c>
      <c r="F57" s="117">
        <f t="shared" si="0"/>
        <v>396666.66666666669</v>
      </c>
      <c r="G57" s="118">
        <v>3.4</v>
      </c>
      <c r="H57" s="119"/>
    </row>
    <row r="58" spans="2:8" ht="15.6">
      <c r="B58" s="114">
        <v>46</v>
      </c>
      <c r="C58" s="115" t="s">
        <v>248</v>
      </c>
      <c r="D58" s="115" t="s">
        <v>147</v>
      </c>
      <c r="E58" s="116" t="s">
        <v>249</v>
      </c>
      <c r="F58" s="117">
        <f t="shared" si="0"/>
        <v>249666.66666666669</v>
      </c>
      <c r="G58" s="118">
        <v>2.14</v>
      </c>
      <c r="H58" s="119"/>
    </row>
    <row r="59" spans="2:8" ht="57.6">
      <c r="B59" s="114">
        <v>47</v>
      </c>
      <c r="C59" s="115" t="s">
        <v>250</v>
      </c>
      <c r="D59" s="115" t="s">
        <v>147</v>
      </c>
      <c r="E59" s="116" t="s">
        <v>251</v>
      </c>
      <c r="F59" s="117">
        <f t="shared" si="0"/>
        <v>249666.66666666669</v>
      </c>
      <c r="G59" s="118">
        <v>2.14</v>
      </c>
      <c r="H59" s="119"/>
    </row>
    <row r="60" spans="2:8" ht="15.6">
      <c r="B60" s="114">
        <v>48</v>
      </c>
      <c r="C60" s="115" t="s">
        <v>252</v>
      </c>
      <c r="D60" s="115" t="s">
        <v>147</v>
      </c>
      <c r="E60" s="116" t="s">
        <v>253</v>
      </c>
      <c r="F60" s="117">
        <f t="shared" si="0"/>
        <v>116666.66666666667</v>
      </c>
      <c r="G60" s="118">
        <v>1</v>
      </c>
      <c r="H60" s="119"/>
    </row>
    <row r="61" spans="2:8" ht="15.6">
      <c r="B61" s="114">
        <v>49</v>
      </c>
      <c r="C61" s="115" t="s">
        <v>254</v>
      </c>
      <c r="D61" s="115" t="s">
        <v>147</v>
      </c>
      <c r="E61" s="116" t="s">
        <v>255</v>
      </c>
      <c r="F61" s="117">
        <f t="shared" si="0"/>
        <v>186666.66666666669</v>
      </c>
      <c r="G61" s="118">
        <v>1.6</v>
      </c>
      <c r="H61" s="119"/>
    </row>
    <row r="62" spans="2:8" ht="57.6">
      <c r="B62" s="114">
        <v>50</v>
      </c>
      <c r="C62" s="115" t="s">
        <v>256</v>
      </c>
      <c r="D62" s="115" t="s">
        <v>147</v>
      </c>
      <c r="E62" s="116" t="s">
        <v>257</v>
      </c>
      <c r="F62" s="117">
        <f t="shared" si="0"/>
        <v>233333.33333333334</v>
      </c>
      <c r="G62" s="118">
        <v>2</v>
      </c>
      <c r="H62" s="119"/>
    </row>
    <row r="63" spans="2:8" ht="28.8">
      <c r="B63" s="114">
        <v>51</v>
      </c>
      <c r="C63" s="115" t="s">
        <v>258</v>
      </c>
      <c r="D63" s="115" t="s">
        <v>147</v>
      </c>
      <c r="E63" s="116" t="s">
        <v>259</v>
      </c>
      <c r="F63" s="117">
        <f t="shared" si="0"/>
        <v>186666.66666666669</v>
      </c>
      <c r="G63" s="118">
        <v>1.6</v>
      </c>
      <c r="H63" s="119"/>
    </row>
    <row r="64" spans="2:8" ht="57.6">
      <c r="B64" s="114">
        <v>52</v>
      </c>
      <c r="C64" s="115" t="s">
        <v>260</v>
      </c>
      <c r="D64" s="115" t="s">
        <v>147</v>
      </c>
      <c r="E64" s="116" t="s">
        <v>261</v>
      </c>
      <c r="F64" s="117">
        <f t="shared" si="0"/>
        <v>175000</v>
      </c>
      <c r="G64" s="118">
        <v>1.5</v>
      </c>
      <c r="H64" s="119"/>
    </row>
    <row r="65" spans="2:8" ht="15.6">
      <c r="B65" s="114">
        <v>53</v>
      </c>
      <c r="C65" s="115" t="s">
        <v>262</v>
      </c>
      <c r="D65" s="115" t="s">
        <v>147</v>
      </c>
      <c r="E65" s="116" t="s">
        <v>263</v>
      </c>
      <c r="F65" s="117">
        <f t="shared" si="0"/>
        <v>280000</v>
      </c>
      <c r="G65" s="118">
        <v>2.4</v>
      </c>
      <c r="H65" s="119"/>
    </row>
    <row r="66" spans="2:8" ht="15.6">
      <c r="B66" s="114">
        <v>54</v>
      </c>
      <c r="C66" s="115" t="s">
        <v>264</v>
      </c>
      <c r="D66" s="115" t="s">
        <v>147</v>
      </c>
      <c r="E66" s="116" t="s">
        <v>265</v>
      </c>
      <c r="F66" s="117">
        <f t="shared" si="0"/>
        <v>583333.33333333337</v>
      </c>
      <c r="G66" s="118">
        <v>5</v>
      </c>
      <c r="H66" s="119"/>
    </row>
    <row r="67" spans="2:8" ht="15.6">
      <c r="B67" s="114">
        <v>55</v>
      </c>
      <c r="C67" s="115" t="s">
        <v>266</v>
      </c>
      <c r="D67" s="115" t="s">
        <v>147</v>
      </c>
      <c r="E67" s="116" t="s">
        <v>267</v>
      </c>
      <c r="F67" s="117">
        <f t="shared" si="0"/>
        <v>175000</v>
      </c>
      <c r="G67" s="118">
        <v>1.5</v>
      </c>
      <c r="H67" s="119"/>
    </row>
    <row r="68" spans="2:8" ht="15.6">
      <c r="B68" s="114">
        <v>56</v>
      </c>
      <c r="C68" s="115" t="s">
        <v>268</v>
      </c>
      <c r="D68" s="115" t="s">
        <v>147</v>
      </c>
      <c r="E68" s="116" t="s">
        <v>269</v>
      </c>
      <c r="F68" s="117">
        <f t="shared" si="0"/>
        <v>175000</v>
      </c>
      <c r="G68" s="118">
        <v>1.5</v>
      </c>
      <c r="H68" s="119"/>
    </row>
    <row r="69" spans="2:8" ht="86.4">
      <c r="B69" s="114">
        <v>57</v>
      </c>
      <c r="C69" s="115" t="s">
        <v>270</v>
      </c>
      <c r="D69" s="115" t="s">
        <v>147</v>
      </c>
      <c r="E69" s="116" t="s">
        <v>271</v>
      </c>
      <c r="F69" s="117">
        <f t="shared" si="0"/>
        <v>116666.66666666667</v>
      </c>
      <c r="G69" s="118">
        <v>1</v>
      </c>
      <c r="H69" s="119"/>
    </row>
    <row r="70" spans="2:8" ht="43.2">
      <c r="B70" s="114">
        <v>58</v>
      </c>
      <c r="C70" s="115" t="s">
        <v>272</v>
      </c>
      <c r="D70" s="115" t="s">
        <v>147</v>
      </c>
      <c r="E70" s="116" t="s">
        <v>273</v>
      </c>
      <c r="F70" s="117">
        <f t="shared" si="0"/>
        <v>905333.33333333337</v>
      </c>
      <c r="G70" s="118">
        <v>7.76</v>
      </c>
      <c r="H70" s="119"/>
    </row>
    <row r="71" spans="2:8" ht="57.6">
      <c r="B71" s="114">
        <v>59</v>
      </c>
      <c r="C71" s="115" t="s">
        <v>274</v>
      </c>
      <c r="D71" s="115" t="s">
        <v>147</v>
      </c>
      <c r="E71" s="116" t="s">
        <v>275</v>
      </c>
      <c r="F71" s="117">
        <f t="shared" si="0"/>
        <v>889000</v>
      </c>
      <c r="G71" s="118">
        <v>7.62</v>
      </c>
      <c r="H71" s="119"/>
    </row>
    <row r="72" spans="2:8" ht="57.6">
      <c r="B72" s="114">
        <v>60</v>
      </c>
      <c r="C72" s="115" t="s">
        <v>276</v>
      </c>
      <c r="D72" s="115" t="s">
        <v>147</v>
      </c>
      <c r="E72" s="116" t="s">
        <v>277</v>
      </c>
      <c r="F72" s="117">
        <f t="shared" si="0"/>
        <v>764166.66666666663</v>
      </c>
      <c r="G72" s="118">
        <v>6.55</v>
      </c>
      <c r="H72" s="119"/>
    </row>
    <row r="73" spans="2:8" ht="28.8">
      <c r="B73" s="114">
        <v>61</v>
      </c>
      <c r="C73" s="115" t="s">
        <v>278</v>
      </c>
      <c r="D73" s="115" t="s">
        <v>147</v>
      </c>
      <c r="E73" s="116" t="s">
        <v>279</v>
      </c>
      <c r="F73" s="117">
        <f t="shared" si="0"/>
        <v>764166.66666666663</v>
      </c>
      <c r="G73" s="118">
        <v>6.55</v>
      </c>
      <c r="H73" s="119"/>
    </row>
    <row r="74" spans="2:8" ht="28.8">
      <c r="B74" s="114">
        <v>62</v>
      </c>
      <c r="C74" s="115" t="s">
        <v>280</v>
      </c>
      <c r="D74" s="115" t="s">
        <v>147</v>
      </c>
      <c r="E74" s="116" t="s">
        <v>281</v>
      </c>
      <c r="F74" s="117">
        <f t="shared" si="0"/>
        <v>688333.33333333337</v>
      </c>
      <c r="G74" s="118">
        <v>5.9</v>
      </c>
      <c r="H74" s="119"/>
    </row>
    <row r="75" spans="2:8" ht="57.6">
      <c r="B75" s="114">
        <v>63</v>
      </c>
      <c r="C75" s="115" t="s">
        <v>282</v>
      </c>
      <c r="D75" s="115" t="s">
        <v>147</v>
      </c>
      <c r="E75" s="116" t="s">
        <v>283</v>
      </c>
      <c r="F75" s="117">
        <f t="shared" si="0"/>
        <v>1061666.6666666667</v>
      </c>
      <c r="G75" s="118">
        <v>9.1</v>
      </c>
      <c r="H75" s="119"/>
    </row>
    <row r="76" spans="2:8" ht="72">
      <c r="B76" s="114">
        <v>64</v>
      </c>
      <c r="C76" s="115" t="s">
        <v>284</v>
      </c>
      <c r="D76" s="115" t="s">
        <v>147</v>
      </c>
      <c r="E76" s="116" t="s">
        <v>285</v>
      </c>
      <c r="F76" s="117">
        <f t="shared" si="0"/>
        <v>1061666.6666666667</v>
      </c>
      <c r="G76" s="118">
        <v>9.1</v>
      </c>
      <c r="H76" s="119"/>
    </row>
    <row r="77" spans="2:8" ht="72">
      <c r="B77" s="114">
        <v>65</v>
      </c>
      <c r="C77" s="115" t="s">
        <v>286</v>
      </c>
      <c r="D77" s="115" t="s">
        <v>147</v>
      </c>
      <c r="E77" s="116" t="s">
        <v>287</v>
      </c>
      <c r="F77" s="117">
        <f t="shared" si="0"/>
        <v>256666.66666666669</v>
      </c>
      <c r="G77" s="118">
        <v>2.2000000000000002</v>
      </c>
      <c r="H77" s="119"/>
    </row>
    <row r="78" spans="2:8" ht="57.6">
      <c r="B78" s="114">
        <v>66</v>
      </c>
      <c r="C78" s="115" t="s">
        <v>288</v>
      </c>
      <c r="D78" s="115" t="s">
        <v>147</v>
      </c>
      <c r="E78" s="116" t="s">
        <v>289</v>
      </c>
      <c r="F78" s="117">
        <f t="shared" ref="F78" si="1">$F$9*G78</f>
        <v>233333.33333333334</v>
      </c>
      <c r="G78" s="118">
        <v>2</v>
      </c>
      <c r="H78" s="123"/>
    </row>
  </sheetData>
  <mergeCells count="26">
    <mergeCell ref="B11:H11"/>
    <mergeCell ref="B9:C9"/>
    <mergeCell ref="D9:E9"/>
    <mergeCell ref="G9:H9"/>
    <mergeCell ref="B10:C10"/>
    <mergeCell ref="D10:E10"/>
    <mergeCell ref="G10:H10"/>
    <mergeCell ref="B7:C7"/>
    <mergeCell ref="D7:E7"/>
    <mergeCell ref="G7:H7"/>
    <mergeCell ref="B8:C8"/>
    <mergeCell ref="D8:E8"/>
    <mergeCell ref="G8:H8"/>
    <mergeCell ref="B5:C5"/>
    <mergeCell ref="D5:E5"/>
    <mergeCell ref="G5:H5"/>
    <mergeCell ref="B6:C6"/>
    <mergeCell ref="D6:E6"/>
    <mergeCell ref="G6:H6"/>
    <mergeCell ref="B2:H2"/>
    <mergeCell ref="B3:C3"/>
    <mergeCell ref="D3:E3"/>
    <mergeCell ref="G3:H3"/>
    <mergeCell ref="B4:C4"/>
    <mergeCell ref="D4:E4"/>
    <mergeCell ref="G4:H4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1D86A-673F-408C-9D1A-12E80CF8C1AC}">
  <dimension ref="B1:L146"/>
  <sheetViews>
    <sheetView topLeftCell="A72" workbookViewId="0">
      <selection activeCell="G92" sqref="G92"/>
    </sheetView>
  </sheetViews>
  <sheetFormatPr baseColWidth="10" defaultRowHeight="14.4"/>
  <cols>
    <col min="2" max="2" width="8.88671875" customWidth="1"/>
    <col min="3" max="3" width="15.6640625" bestFit="1" customWidth="1"/>
    <col min="4" max="4" width="56.109375" customWidth="1"/>
    <col min="5" max="6" width="8.6640625" customWidth="1"/>
    <col min="7" max="7" width="9.44140625" customWidth="1"/>
    <col min="8" max="8" width="12.109375" customWidth="1"/>
    <col min="9" max="9" width="13" customWidth="1"/>
    <col min="10" max="10" width="11.109375" customWidth="1"/>
  </cols>
  <sheetData>
    <row r="1" spans="2:10" ht="18">
      <c r="B1" s="548" t="s">
        <v>13</v>
      </c>
      <c r="C1" s="549"/>
      <c r="D1" s="549"/>
      <c r="E1" s="549"/>
      <c r="F1" s="549"/>
      <c r="G1" s="549"/>
      <c r="H1" s="549"/>
      <c r="I1" s="549"/>
      <c r="J1" s="550"/>
    </row>
    <row r="2" spans="2:10">
      <c r="B2" s="551" t="s">
        <v>14</v>
      </c>
      <c r="C2" s="552"/>
      <c r="D2" s="555" t="str">
        <f>+PTO!D3</f>
        <v>MEJORAMIENTO DE LAS IET GENERAL SANTANDER SEDE PRINCIPAL Y FRANCISCO JULIAN OLAYA SEDE PRINCIPAL DEL MUNICIPIO DE RIOBLANCO TOLIMA</v>
      </c>
      <c r="E2" s="555"/>
      <c r="F2" s="555"/>
      <c r="G2" s="555"/>
      <c r="H2" s="555"/>
      <c r="I2" s="555"/>
      <c r="J2" s="556"/>
    </row>
    <row r="3" spans="2:10" ht="15" thickBot="1">
      <c r="B3" s="553"/>
      <c r="C3" s="554"/>
      <c r="D3" s="557"/>
      <c r="E3" s="557"/>
      <c r="F3" s="557"/>
      <c r="G3" s="557"/>
      <c r="H3" s="557"/>
      <c r="I3" s="557"/>
      <c r="J3" s="558"/>
    </row>
    <row r="4" spans="2:10" ht="16.2" thickBot="1">
      <c r="B4" s="540" t="str">
        <f>+PTO!D5</f>
        <v>IET GENERAL SANTANDER</v>
      </c>
      <c r="C4" s="541"/>
      <c r="D4" s="541"/>
      <c r="E4" s="541"/>
      <c r="F4" s="541"/>
      <c r="G4" s="541"/>
      <c r="H4" s="541"/>
      <c r="I4" s="541"/>
      <c r="J4" s="542"/>
    </row>
    <row r="5" spans="2:10" ht="16.2" thickBot="1">
      <c r="B5" s="540" t="str">
        <f>+PTO!D6</f>
        <v>PRELIMINARES (P)</v>
      </c>
      <c r="C5" s="541"/>
      <c r="D5" s="541"/>
      <c r="E5" s="541"/>
      <c r="F5" s="541"/>
      <c r="G5" s="541"/>
      <c r="H5" s="541"/>
      <c r="I5" s="541"/>
      <c r="J5" s="542"/>
    </row>
    <row r="6" spans="2:10">
      <c r="B6" s="5" t="s">
        <v>3</v>
      </c>
      <c r="C6" s="6" t="s">
        <v>15</v>
      </c>
      <c r="D6" s="130" t="str">
        <f>+PTO!D7</f>
        <v>DESMONTE DE APARATOS SANITARIOS</v>
      </c>
      <c r="E6" s="545" t="s">
        <v>17</v>
      </c>
      <c r="F6" s="546"/>
      <c r="G6" s="546"/>
      <c r="H6" s="546"/>
      <c r="I6" s="547"/>
      <c r="J6" s="11">
        <f>+SUM(J7:J10)</f>
        <v>7</v>
      </c>
    </row>
    <row r="7" spans="2:10">
      <c r="B7" s="8">
        <f>+PTO!C7</f>
        <v>1.01</v>
      </c>
      <c r="C7" s="6" t="s">
        <v>18</v>
      </c>
      <c r="D7" s="130" t="s">
        <v>9</v>
      </c>
      <c r="E7" s="9"/>
      <c r="F7" s="9" t="s">
        <v>19</v>
      </c>
      <c r="G7" s="9" t="s">
        <v>20</v>
      </c>
      <c r="H7" s="10" t="s">
        <v>21</v>
      </c>
      <c r="I7" s="9" t="s">
        <v>22</v>
      </c>
      <c r="J7" s="339" t="s">
        <v>35</v>
      </c>
    </row>
    <row r="8" spans="2:10">
      <c r="B8" s="12">
        <v>1</v>
      </c>
      <c r="C8" s="538" t="s">
        <v>426</v>
      </c>
      <c r="D8" s="539"/>
      <c r="E8" s="13"/>
      <c r="F8" s="14"/>
      <c r="G8" s="14"/>
      <c r="H8" s="15"/>
      <c r="I8" s="15">
        <v>7</v>
      </c>
      <c r="J8" s="16">
        <f>+I8</f>
        <v>7</v>
      </c>
    </row>
    <row r="9" spans="2:10">
      <c r="B9" s="12"/>
      <c r="C9" s="538"/>
      <c r="D9" s="539"/>
      <c r="E9" s="13"/>
      <c r="F9" s="14"/>
      <c r="G9" s="14"/>
      <c r="H9" s="15"/>
      <c r="I9" s="15"/>
      <c r="J9" s="16">
        <f>F9*G9</f>
        <v>0</v>
      </c>
    </row>
    <row r="10" spans="2:10">
      <c r="B10" s="12"/>
      <c r="C10" s="538"/>
      <c r="D10" s="539"/>
      <c r="E10" s="13"/>
      <c r="F10" s="14"/>
      <c r="G10" s="14"/>
      <c r="H10" s="15"/>
      <c r="I10" s="15"/>
      <c r="J10" s="16"/>
    </row>
    <row r="11" spans="2:10">
      <c r="B11" s="5" t="s">
        <v>3</v>
      </c>
      <c r="C11" s="6" t="s">
        <v>15</v>
      </c>
      <c r="D11" s="130" t="str">
        <f>+PTO!D8</f>
        <v>DESMONTE DE CUBIERTA EXISTENTE</v>
      </c>
      <c r="E11" s="545" t="s">
        <v>17</v>
      </c>
      <c r="F11" s="546"/>
      <c r="G11" s="546"/>
      <c r="H11" s="546"/>
      <c r="I11" s="547"/>
      <c r="J11" s="11">
        <f>+SUM(J12:J15)</f>
        <v>144.5</v>
      </c>
    </row>
    <row r="12" spans="2:10">
      <c r="B12" s="8">
        <f>+PTO!C8</f>
        <v>1.02</v>
      </c>
      <c r="C12" s="6" t="s">
        <v>18</v>
      </c>
      <c r="D12" s="130" t="s">
        <v>9</v>
      </c>
      <c r="E12" s="9"/>
      <c r="F12" s="9" t="s">
        <v>19</v>
      </c>
      <c r="G12" s="9" t="s">
        <v>20</v>
      </c>
      <c r="H12" s="10" t="s">
        <v>21</v>
      </c>
      <c r="I12" s="9" t="s">
        <v>22</v>
      </c>
      <c r="J12" s="339" t="s">
        <v>35</v>
      </c>
    </row>
    <row r="13" spans="2:10">
      <c r="B13" s="12">
        <v>1</v>
      </c>
      <c r="C13" s="538" t="s">
        <v>452</v>
      </c>
      <c r="D13" s="539"/>
      <c r="E13" s="13"/>
      <c r="F13" s="14">
        <v>17</v>
      </c>
      <c r="G13" s="14">
        <v>8.5</v>
      </c>
      <c r="H13" s="15"/>
      <c r="I13" s="15">
        <v>1</v>
      </c>
      <c r="J13" s="16">
        <f>+F13*G13*I13</f>
        <v>144.5</v>
      </c>
    </row>
    <row r="14" spans="2:10">
      <c r="B14" s="12"/>
      <c r="C14" s="538"/>
      <c r="D14" s="539"/>
      <c r="E14" s="13"/>
      <c r="F14" s="14"/>
      <c r="G14" s="14"/>
      <c r="H14" s="15"/>
      <c r="I14" s="15"/>
      <c r="J14" s="16">
        <f>F14*G14</f>
        <v>0</v>
      </c>
    </row>
    <row r="15" spans="2:10" ht="15" thickBot="1">
      <c r="B15" s="12"/>
      <c r="C15" s="538"/>
      <c r="D15" s="539"/>
      <c r="E15" s="13"/>
      <c r="F15" s="14"/>
      <c r="G15" s="14"/>
      <c r="H15" s="15"/>
      <c r="I15" s="15"/>
      <c r="J15" s="16"/>
    </row>
    <row r="16" spans="2:10" ht="16.2" thickBot="1">
      <c r="B16" s="540" t="str">
        <f>+PTO!D9</f>
        <v>HIDRAULICO Y SANITARIO (HS)</v>
      </c>
      <c r="C16" s="541"/>
      <c r="D16" s="541"/>
      <c r="E16" s="541"/>
      <c r="F16" s="541"/>
      <c r="G16" s="541"/>
      <c r="H16" s="541"/>
      <c r="I16" s="541"/>
      <c r="J16" s="542"/>
    </row>
    <row r="17" spans="2:10">
      <c r="B17" s="5" t="s">
        <v>3</v>
      </c>
      <c r="C17" s="6" t="s">
        <v>15</v>
      </c>
      <c r="D17" s="130" t="str">
        <f>+PTO!D10</f>
        <v>SUMINISTRO E INSTALACION DE SANITARIO (INCLUYE GRIFERIA)</v>
      </c>
      <c r="E17" s="545" t="s">
        <v>17</v>
      </c>
      <c r="F17" s="546"/>
      <c r="G17" s="546"/>
      <c r="H17" s="546"/>
      <c r="I17" s="547"/>
      <c r="J17" s="11">
        <f>SUM(J18:J20)</f>
        <v>7</v>
      </c>
    </row>
    <row r="18" spans="2:10" ht="20.25" customHeight="1">
      <c r="B18" s="8">
        <f>+PTO!C10</f>
        <v>2.0099999999999998</v>
      </c>
      <c r="C18" s="6" t="s">
        <v>18</v>
      </c>
      <c r="D18" s="130" t="str">
        <f>+PTO!E10</f>
        <v>UND</v>
      </c>
      <c r="E18" s="9"/>
      <c r="F18" s="9" t="s">
        <v>19</v>
      </c>
      <c r="G18" s="9" t="s">
        <v>20</v>
      </c>
      <c r="H18" s="10" t="s">
        <v>21</v>
      </c>
      <c r="I18" s="9" t="s">
        <v>22</v>
      </c>
      <c r="J18" s="339" t="s">
        <v>35</v>
      </c>
    </row>
    <row r="19" spans="2:10">
      <c r="B19" s="12">
        <v>1</v>
      </c>
      <c r="C19" s="538" t="s">
        <v>427</v>
      </c>
      <c r="D19" s="539"/>
      <c r="E19" s="13"/>
      <c r="F19" s="14"/>
      <c r="G19" s="14"/>
      <c r="H19" s="15"/>
      <c r="I19" s="15">
        <v>7</v>
      </c>
      <c r="J19" s="16">
        <f>+I19</f>
        <v>7</v>
      </c>
    </row>
    <row r="20" spans="2:10">
      <c r="B20" s="12"/>
      <c r="C20" s="538"/>
      <c r="D20" s="539"/>
      <c r="E20" s="13"/>
      <c r="F20" s="14"/>
      <c r="G20" s="14"/>
      <c r="H20" s="15"/>
      <c r="I20" s="15"/>
      <c r="J20" s="16"/>
    </row>
    <row r="21" spans="2:10" ht="30.75" customHeight="1">
      <c r="B21" s="5" t="s">
        <v>3</v>
      </c>
      <c r="C21" s="6" t="s">
        <v>15</v>
      </c>
      <c r="D21" s="132" t="str">
        <f>+PTO!D11</f>
        <v>SUMINISTRO E INSTALACION DE SANITARIO INFANTIL (INCLUYE GRIFERIA)</v>
      </c>
      <c r="E21" s="543" t="s">
        <v>17</v>
      </c>
      <c r="F21" s="543"/>
      <c r="G21" s="543"/>
      <c r="H21" s="543"/>
      <c r="I21" s="543"/>
      <c r="J21" s="11">
        <f>ROUND(SUM(J23:J24),2)</f>
        <v>1</v>
      </c>
    </row>
    <row r="22" spans="2:10">
      <c r="B22" s="8">
        <f>+PTO!C11</f>
        <v>2.0199999999999996</v>
      </c>
      <c r="C22" s="6" t="s">
        <v>18</v>
      </c>
      <c r="D22" s="130" t="str">
        <f>+PTO!E11</f>
        <v>UND</v>
      </c>
      <c r="E22" s="9"/>
      <c r="F22" s="9" t="s">
        <v>19</v>
      </c>
      <c r="G22" s="9" t="s">
        <v>20</v>
      </c>
      <c r="H22" s="10" t="s">
        <v>23</v>
      </c>
      <c r="I22" s="9" t="s">
        <v>22</v>
      </c>
      <c r="J22" s="339" t="s">
        <v>35</v>
      </c>
    </row>
    <row r="23" spans="2:10">
      <c r="B23" s="12">
        <v>1</v>
      </c>
      <c r="C23" s="538" t="s">
        <v>428</v>
      </c>
      <c r="D23" s="539"/>
      <c r="E23" s="13"/>
      <c r="F23" s="14"/>
      <c r="G23" s="14"/>
      <c r="H23" s="15"/>
      <c r="I23" s="15">
        <v>1</v>
      </c>
      <c r="J23" s="16">
        <f>+I23</f>
        <v>1</v>
      </c>
    </row>
    <row r="24" spans="2:10">
      <c r="B24" s="18"/>
      <c r="C24" s="544"/>
      <c r="D24" s="544"/>
      <c r="E24" s="9"/>
      <c r="F24" s="9"/>
      <c r="G24" s="9"/>
      <c r="H24" s="10"/>
      <c r="I24" s="9"/>
      <c r="J24" s="16"/>
    </row>
    <row r="25" spans="2:10" ht="30.75" customHeight="1">
      <c r="B25" s="5" t="s">
        <v>3</v>
      </c>
      <c r="C25" s="6" t="s">
        <v>15</v>
      </c>
      <c r="D25" s="132" t="str">
        <f>+PTO!D12</f>
        <v>SUMINISTRO E INSTALACIÓN DE LLAVE LAVAMANOS TIPO PUSH</v>
      </c>
      <c r="E25" s="543" t="s">
        <v>17</v>
      </c>
      <c r="F25" s="543"/>
      <c r="G25" s="543"/>
      <c r="H25" s="543"/>
      <c r="I25" s="543"/>
      <c r="J25" s="11">
        <f>SUM(J26:J28)</f>
        <v>7</v>
      </c>
    </row>
    <row r="26" spans="2:10">
      <c r="B26" s="8">
        <f>+PTO!C12</f>
        <v>2.0299999999999994</v>
      </c>
      <c r="C26" s="6" t="s">
        <v>18</v>
      </c>
      <c r="D26" s="130" t="str">
        <f>+PTO!E12</f>
        <v>UND</v>
      </c>
      <c r="E26" s="9"/>
      <c r="F26" s="9" t="s">
        <v>19</v>
      </c>
      <c r="G26" s="9" t="s">
        <v>20</v>
      </c>
      <c r="H26" s="10" t="s">
        <v>23</v>
      </c>
      <c r="I26" s="9" t="s">
        <v>22</v>
      </c>
      <c r="J26" s="339" t="s">
        <v>35</v>
      </c>
    </row>
    <row r="27" spans="2:10">
      <c r="B27" s="12">
        <v>1</v>
      </c>
      <c r="C27" s="538" t="s">
        <v>427</v>
      </c>
      <c r="D27" s="539"/>
      <c r="E27" s="13"/>
      <c r="F27" s="14"/>
      <c r="G27" s="14"/>
      <c r="H27" s="15"/>
      <c r="I27" s="15">
        <v>3</v>
      </c>
      <c r="J27" s="16">
        <f>+I27</f>
        <v>3</v>
      </c>
    </row>
    <row r="28" spans="2:10">
      <c r="B28" s="12">
        <v>2</v>
      </c>
      <c r="C28" s="538" t="s">
        <v>429</v>
      </c>
      <c r="D28" s="539"/>
      <c r="E28" s="13"/>
      <c r="F28" s="14"/>
      <c r="G28" s="14"/>
      <c r="H28" s="15"/>
      <c r="I28" s="15">
        <v>4</v>
      </c>
      <c r="J28" s="16">
        <f>+I28</f>
        <v>4</v>
      </c>
    </row>
    <row r="29" spans="2:10">
      <c r="B29" s="18"/>
      <c r="C29" s="544"/>
      <c r="D29" s="544"/>
      <c r="E29" s="9"/>
      <c r="F29" s="9"/>
      <c r="G29" s="9"/>
      <c r="H29" s="10"/>
      <c r="I29" s="9"/>
      <c r="J29" s="16"/>
    </row>
    <row r="30" spans="2:10" ht="30.75" customHeight="1">
      <c r="B30" s="5" t="s">
        <v>3</v>
      </c>
      <c r="C30" s="6" t="s">
        <v>15</v>
      </c>
      <c r="D30" s="132" t="str">
        <f>+PTO!D13</f>
        <v>SUMINISTRO E INSTALACIÓN DE DESAGUE PARA LAVAMOS</v>
      </c>
      <c r="E30" s="543" t="s">
        <v>17</v>
      </c>
      <c r="F30" s="543"/>
      <c r="G30" s="543"/>
      <c r="H30" s="543"/>
      <c r="I30" s="543"/>
      <c r="J30" s="11">
        <f>SUM(J31:J33)</f>
        <v>11</v>
      </c>
    </row>
    <row r="31" spans="2:10">
      <c r="B31" s="8">
        <f>+PTO!C13</f>
        <v>2.0399999999999991</v>
      </c>
      <c r="C31" s="6" t="s">
        <v>18</v>
      </c>
      <c r="D31" s="130" t="str">
        <f>+_xlfn.XLOOKUP(TEXT(D30,0),LIST[DESCRIPCIÓN],LIST[UNIDAD])</f>
        <v>UND</v>
      </c>
      <c r="E31" s="9"/>
      <c r="F31" s="9" t="s">
        <v>19</v>
      </c>
      <c r="G31" s="9" t="s">
        <v>20</v>
      </c>
      <c r="H31" s="10" t="s">
        <v>23</v>
      </c>
      <c r="I31" s="9" t="s">
        <v>22</v>
      </c>
      <c r="J31" s="339" t="s">
        <v>35</v>
      </c>
    </row>
    <row r="32" spans="2:10">
      <c r="B32" s="12">
        <v>1</v>
      </c>
      <c r="C32" s="538" t="s">
        <v>427</v>
      </c>
      <c r="D32" s="539"/>
      <c r="E32" s="13"/>
      <c r="F32" s="14"/>
      <c r="G32" s="14"/>
      <c r="H32" s="15"/>
      <c r="I32" s="15">
        <v>7</v>
      </c>
      <c r="J32" s="16">
        <f>+I32</f>
        <v>7</v>
      </c>
    </row>
    <row r="33" spans="2:10">
      <c r="B33" s="12">
        <v>2</v>
      </c>
      <c r="C33" s="538" t="s">
        <v>429</v>
      </c>
      <c r="D33" s="539"/>
      <c r="E33" s="13"/>
      <c r="F33" s="14"/>
      <c r="G33" s="14"/>
      <c r="H33" s="15"/>
      <c r="I33" s="15">
        <v>4</v>
      </c>
      <c r="J33" s="16">
        <f>+I33</f>
        <v>4</v>
      </c>
    </row>
    <row r="34" spans="2:10">
      <c r="B34" s="18"/>
      <c r="C34" s="544"/>
      <c r="D34" s="544"/>
      <c r="E34" s="9"/>
      <c r="F34" s="9"/>
      <c r="G34" s="9"/>
      <c r="H34" s="10"/>
      <c r="I34" s="9"/>
      <c r="J34" s="16"/>
    </row>
    <row r="35" spans="2:10" ht="30.75" customHeight="1">
      <c r="B35" s="5" t="s">
        <v>3</v>
      </c>
      <c r="C35" s="6" t="s">
        <v>15</v>
      </c>
      <c r="D35" s="132" t="str">
        <f>+PTO!D14</f>
        <v>MANTENIMIENTO RED SANITARIA (PUNTO OBSTRUIDO)</v>
      </c>
      <c r="E35" s="543" t="s">
        <v>17</v>
      </c>
      <c r="F35" s="543"/>
      <c r="G35" s="543"/>
      <c r="H35" s="543"/>
      <c r="I35" s="543"/>
      <c r="J35" s="11">
        <f>SUM(J36:J38)</f>
        <v>2</v>
      </c>
    </row>
    <row r="36" spans="2:10">
      <c r="B36" s="8">
        <f>+_xlfn.XLOOKUP(TEXT(D35,0),PTO!$D$5:$D$27,PTO!$C$5:$C$27)</f>
        <v>2.0499999999999989</v>
      </c>
      <c r="C36" s="6" t="s">
        <v>18</v>
      </c>
      <c r="D36" s="130" t="str">
        <f>+_xlfn.XLOOKUP(TEXT(D35,0),LIST[DESCRIPCIÓN],LIST[UNIDAD])</f>
        <v>UND</v>
      </c>
      <c r="E36" s="9"/>
      <c r="F36" s="9" t="s">
        <v>19</v>
      </c>
      <c r="G36" s="9" t="s">
        <v>20</v>
      </c>
      <c r="H36" s="10" t="s">
        <v>23</v>
      </c>
      <c r="I36" s="9" t="s">
        <v>22</v>
      </c>
      <c r="J36" s="339" t="s">
        <v>35</v>
      </c>
    </row>
    <row r="37" spans="2:10">
      <c r="B37" s="12">
        <v>1</v>
      </c>
      <c r="C37" s="538" t="s">
        <v>445</v>
      </c>
      <c r="D37" s="539"/>
      <c r="E37" s="13"/>
      <c r="F37" s="14"/>
      <c r="G37" s="14"/>
      <c r="H37" s="15"/>
      <c r="I37" s="15">
        <v>1</v>
      </c>
      <c r="J37" s="16">
        <f>+I37</f>
        <v>1</v>
      </c>
    </row>
    <row r="38" spans="2:10">
      <c r="B38" s="12">
        <v>2</v>
      </c>
      <c r="C38" s="538" t="s">
        <v>446</v>
      </c>
      <c r="D38" s="539"/>
      <c r="E38" s="13"/>
      <c r="F38" s="14"/>
      <c r="G38" s="14"/>
      <c r="H38" s="15"/>
      <c r="I38" s="15">
        <v>1</v>
      </c>
      <c r="J38" s="16">
        <f>+I38</f>
        <v>1</v>
      </c>
    </row>
    <row r="39" spans="2:10">
      <c r="B39" s="18"/>
      <c r="C39" s="544"/>
      <c r="D39" s="544"/>
      <c r="E39" s="9"/>
      <c r="F39" s="9"/>
      <c r="G39" s="9"/>
      <c r="H39" s="10"/>
      <c r="I39" s="9"/>
      <c r="J39" s="16"/>
    </row>
    <row r="40" spans="2:10" ht="30.75" customHeight="1">
      <c r="B40" s="5" t="s">
        <v>3</v>
      </c>
      <c r="C40" s="6" t="s">
        <v>15</v>
      </c>
      <c r="D40" s="132" t="str">
        <f>+PTO!D15</f>
        <v>TAPA EN CONCRETO PARA CAJA DE INSPECCIÓN 1X1 M CON TERMINAL EN ANGULO 1/2"</v>
      </c>
      <c r="E40" s="543" t="s">
        <v>17</v>
      </c>
      <c r="F40" s="543"/>
      <c r="G40" s="543"/>
      <c r="H40" s="543"/>
      <c r="I40" s="543"/>
      <c r="J40" s="11">
        <f>SUM(J41:J43)</f>
        <v>1</v>
      </c>
    </row>
    <row r="41" spans="2:10">
      <c r="B41" s="8">
        <f>+_xlfn.XLOOKUP(TEXT(D40,0),PTO!$D$5:$D$27,PTO!$C$5:$C$27)</f>
        <v>2.0599999999999987</v>
      </c>
      <c r="C41" s="6" t="s">
        <v>18</v>
      </c>
      <c r="D41" s="130" t="str">
        <f>+_xlfn.XLOOKUP(TEXT(D40,0),LIST[DESCRIPCIÓN],LIST[UNIDAD])</f>
        <v>UND</v>
      </c>
      <c r="E41" s="9"/>
      <c r="F41" s="9" t="s">
        <v>19</v>
      </c>
      <c r="G41" s="9" t="s">
        <v>20</v>
      </c>
      <c r="H41" s="10" t="s">
        <v>23</v>
      </c>
      <c r="I41" s="9" t="s">
        <v>22</v>
      </c>
      <c r="J41" s="339" t="s">
        <v>35</v>
      </c>
    </row>
    <row r="42" spans="2:10">
      <c r="B42" s="12">
        <v>1</v>
      </c>
      <c r="C42" s="538" t="s">
        <v>442</v>
      </c>
      <c r="D42" s="539"/>
      <c r="E42" s="13"/>
      <c r="F42" s="14"/>
      <c r="G42" s="14"/>
      <c r="H42" s="15"/>
      <c r="I42" s="15">
        <v>1</v>
      </c>
      <c r="J42" s="16">
        <f>+I42</f>
        <v>1</v>
      </c>
    </row>
    <row r="43" spans="2:10">
      <c r="B43" s="12"/>
      <c r="C43" s="538"/>
      <c r="D43" s="539"/>
      <c r="E43" s="13"/>
      <c r="F43" s="14"/>
      <c r="G43" s="14"/>
      <c r="H43" s="15"/>
      <c r="I43" s="15"/>
      <c r="J43" s="16"/>
    </row>
    <row r="44" spans="2:10" ht="30.75" customHeight="1">
      <c r="B44" s="5" t="s">
        <v>3</v>
      </c>
      <c r="C44" s="6" t="s">
        <v>15</v>
      </c>
      <c r="D44" s="132" t="str">
        <f>+PTO!D16</f>
        <v>SUMINISTRO E INSTALACIÓN DE LLAVE ORINAL TIPO PUSH</v>
      </c>
      <c r="E44" s="543" t="s">
        <v>17</v>
      </c>
      <c r="F44" s="543"/>
      <c r="G44" s="543"/>
      <c r="H44" s="543"/>
      <c r="I44" s="543"/>
      <c r="J44" s="11">
        <f>SUM(J45:J47)</f>
        <v>4</v>
      </c>
    </row>
    <row r="45" spans="2:10">
      <c r="B45" s="8">
        <f>+_xlfn.XLOOKUP(TEXT(D44,0),PTO!$D$5:$D$27,PTO!$C$5:$C$27)</f>
        <v>2.0699999999999985</v>
      </c>
      <c r="C45" s="6" t="s">
        <v>18</v>
      </c>
      <c r="D45" s="130" t="str">
        <f>+_xlfn.XLOOKUP(TEXT(D44,0),LIST[DESCRIPCIÓN],LIST[UNIDAD])</f>
        <v>UND</v>
      </c>
      <c r="E45" s="9"/>
      <c r="F45" s="9" t="s">
        <v>19</v>
      </c>
      <c r="G45" s="9" t="s">
        <v>20</v>
      </c>
      <c r="H45" s="10" t="s">
        <v>23</v>
      </c>
      <c r="I45" s="9" t="s">
        <v>22</v>
      </c>
      <c r="J45" s="339" t="s">
        <v>35</v>
      </c>
    </row>
    <row r="46" spans="2:10">
      <c r="B46" s="12">
        <v>1</v>
      </c>
      <c r="C46" s="538" t="s">
        <v>446</v>
      </c>
      <c r="D46" s="539"/>
      <c r="E46" s="13"/>
      <c r="F46" s="14"/>
      <c r="G46" s="14"/>
      <c r="H46" s="15"/>
      <c r="I46" s="15">
        <v>4</v>
      </c>
      <c r="J46" s="16">
        <f>+I46</f>
        <v>4</v>
      </c>
    </row>
    <row r="47" spans="2:10">
      <c r="B47" s="12"/>
      <c r="C47" s="538"/>
      <c r="D47" s="539"/>
      <c r="E47" s="13"/>
      <c r="F47" s="14"/>
      <c r="G47" s="14"/>
      <c r="H47" s="15"/>
      <c r="I47" s="15"/>
      <c r="J47" s="16"/>
    </row>
    <row r="48" spans="2:10" ht="30.75" customHeight="1">
      <c r="B48" s="5" t="s">
        <v>3</v>
      </c>
      <c r="C48" s="6" t="s">
        <v>15</v>
      </c>
      <c r="D48" s="132" t="str">
        <f>+PTO!D17</f>
        <v>SUMINISTRO E INSTALACIÓN DE GRIFERIA PARA SANITARIO</v>
      </c>
      <c r="E48" s="543" t="s">
        <v>17</v>
      </c>
      <c r="F48" s="543"/>
      <c r="G48" s="543"/>
      <c r="H48" s="543"/>
      <c r="I48" s="543"/>
      <c r="J48" s="11">
        <f>SUM(J49:J51)</f>
        <v>1</v>
      </c>
    </row>
    <row r="49" spans="2:10">
      <c r="B49" s="8">
        <f>+_xlfn.XLOOKUP(TEXT(D48,0),PTO!$D$5:$D$27,PTO!$C$5:$C$27)</f>
        <v>2.0799999999999983</v>
      </c>
      <c r="C49" s="6" t="s">
        <v>18</v>
      </c>
      <c r="D49" s="130" t="str">
        <f>+_xlfn.XLOOKUP(TEXT(D48,0),LIST[DESCRIPCIÓN],LIST[UNIDAD])</f>
        <v>UND</v>
      </c>
      <c r="E49" s="9"/>
      <c r="F49" s="9" t="s">
        <v>19</v>
      </c>
      <c r="G49" s="9" t="s">
        <v>20</v>
      </c>
      <c r="H49" s="10" t="s">
        <v>23</v>
      </c>
      <c r="I49" s="9" t="s">
        <v>22</v>
      </c>
      <c r="J49" s="339" t="s">
        <v>35</v>
      </c>
    </row>
    <row r="50" spans="2:10">
      <c r="B50" s="12">
        <v>1</v>
      </c>
      <c r="C50" s="538" t="s">
        <v>445</v>
      </c>
      <c r="D50" s="539"/>
      <c r="E50" s="13"/>
      <c r="F50" s="14"/>
      <c r="G50" s="14"/>
      <c r="H50" s="15"/>
      <c r="I50" s="15">
        <v>1</v>
      </c>
      <c r="J50" s="16">
        <f>+I50</f>
        <v>1</v>
      </c>
    </row>
    <row r="51" spans="2:10">
      <c r="B51" s="12"/>
      <c r="C51" s="538"/>
      <c r="D51" s="539"/>
      <c r="E51" s="13"/>
      <c r="F51" s="14"/>
      <c r="G51" s="14"/>
      <c r="H51" s="15"/>
      <c r="I51" s="15"/>
      <c r="J51" s="16"/>
    </row>
    <row r="52" spans="2:10" ht="30.75" customHeight="1">
      <c r="B52" s="5" t="s">
        <v>3</v>
      </c>
      <c r="C52" s="6" t="s">
        <v>15</v>
      </c>
      <c r="D52" s="132" t="e">
        <f>+PTO!#REF!</f>
        <v>#REF!</v>
      </c>
      <c r="E52" s="543" t="s">
        <v>16</v>
      </c>
      <c r="F52" s="543"/>
      <c r="G52" s="543"/>
      <c r="H52" s="543"/>
      <c r="I52" s="543"/>
      <c r="J52" s="7" t="s">
        <v>17</v>
      </c>
    </row>
    <row r="53" spans="2:10">
      <c r="B53" s="8" t="e">
        <f>+PTO!#REF!</f>
        <v>#REF!</v>
      </c>
      <c r="C53" s="6" t="s">
        <v>18</v>
      </c>
      <c r="D53" s="130" t="e">
        <f>+PTO!#REF!</f>
        <v>#REF!</v>
      </c>
      <c r="E53" s="9"/>
      <c r="F53" s="9" t="s">
        <v>19</v>
      </c>
      <c r="G53" s="9" t="s">
        <v>20</v>
      </c>
      <c r="H53" s="10" t="s">
        <v>23</v>
      </c>
      <c r="I53" s="9" t="s">
        <v>22</v>
      </c>
      <c r="J53" s="11">
        <f>ROUND(SUM(J54:J55),2)</f>
        <v>9.5</v>
      </c>
    </row>
    <row r="54" spans="2:10">
      <c r="B54" s="12">
        <v>1</v>
      </c>
      <c r="C54" s="538" t="s">
        <v>319</v>
      </c>
      <c r="D54" s="539"/>
      <c r="E54" s="13"/>
      <c r="F54" s="14"/>
      <c r="G54" s="14"/>
      <c r="H54" s="15"/>
      <c r="I54" s="15">
        <v>9.5</v>
      </c>
      <c r="J54" s="16">
        <f>+I54</f>
        <v>9.5</v>
      </c>
    </row>
    <row r="55" spans="2:10" ht="15" thickBot="1">
      <c r="B55" s="18"/>
      <c r="C55" s="544"/>
      <c r="D55" s="544"/>
      <c r="E55" s="9"/>
      <c r="F55" s="9"/>
      <c r="G55" s="9"/>
      <c r="H55" s="10"/>
      <c r="I55" s="9"/>
      <c r="J55" s="16"/>
    </row>
    <row r="56" spans="2:10" ht="16.2" thickBot="1">
      <c r="B56" s="540" t="str">
        <f>+PTO!D18</f>
        <v>CUBIERTAS, IMPERMEABILIZANTE Y ELEMENTOS DE SOPORTE (CIE)</v>
      </c>
      <c r="C56" s="541"/>
      <c r="D56" s="541"/>
      <c r="E56" s="541"/>
      <c r="F56" s="541"/>
      <c r="G56" s="541"/>
      <c r="H56" s="541"/>
      <c r="I56" s="541"/>
      <c r="J56" s="542"/>
    </row>
    <row r="57" spans="2:10">
      <c r="B57" s="5" t="s">
        <v>3</v>
      </c>
      <c r="C57" s="6" t="s">
        <v>15</v>
      </c>
      <c r="D57" s="133" t="str">
        <f>+PTO!D19</f>
        <v>TEJA EN LAMINA GALVANIZADA CAL.28</v>
      </c>
      <c r="E57" s="543" t="s">
        <v>17</v>
      </c>
      <c r="F57" s="543"/>
      <c r="G57" s="543"/>
      <c r="H57" s="543"/>
      <c r="I57" s="543"/>
      <c r="J57" s="11">
        <f>ROUND(SUM(J58:J61),2)</f>
        <v>144.5</v>
      </c>
    </row>
    <row r="58" spans="2:10">
      <c r="B58" s="8">
        <f>+_xlfn.XLOOKUP(TEXT(D57,0),PTO!$D$5:$D$27,PTO!$C$5:$C$27)</f>
        <v>3.01</v>
      </c>
      <c r="C58" s="6" t="s">
        <v>18</v>
      </c>
      <c r="D58" s="130" t="str">
        <f>+_xlfn.XLOOKUP(TEXT(D57,0),LIST[DESCRIPCIÓN],LIST[UNIDAD])</f>
        <v>M2</v>
      </c>
      <c r="E58" s="9"/>
      <c r="F58" s="9" t="s">
        <v>19</v>
      </c>
      <c r="G58" s="9" t="s">
        <v>20</v>
      </c>
      <c r="H58" s="10" t="s">
        <v>23</v>
      </c>
      <c r="I58" s="9" t="s">
        <v>22</v>
      </c>
      <c r="J58" s="339" t="s">
        <v>35</v>
      </c>
    </row>
    <row r="59" spans="2:10">
      <c r="B59" s="12">
        <v>1</v>
      </c>
      <c r="C59" s="538" t="s">
        <v>451</v>
      </c>
      <c r="D59" s="539"/>
      <c r="E59" s="13"/>
      <c r="F59" s="14">
        <f>15+2</f>
        <v>17</v>
      </c>
      <c r="G59" s="14">
        <v>9.1999999999999993</v>
      </c>
      <c r="H59" s="15"/>
      <c r="I59" s="15">
        <v>0</v>
      </c>
      <c r="J59" s="16">
        <f>+F59*G59*I59</f>
        <v>0</v>
      </c>
    </row>
    <row r="60" spans="2:10">
      <c r="B60" s="12">
        <v>2</v>
      </c>
      <c r="C60" s="538" t="s">
        <v>290</v>
      </c>
      <c r="D60" s="539"/>
      <c r="E60" s="13"/>
      <c r="F60" s="14">
        <f>+F59/2</f>
        <v>8.5</v>
      </c>
      <c r="G60" s="14">
        <v>3</v>
      </c>
      <c r="H60" s="15"/>
      <c r="I60" s="15">
        <v>0</v>
      </c>
      <c r="J60" s="16">
        <f>+F60*G60*I60</f>
        <v>0</v>
      </c>
    </row>
    <row r="61" spans="2:10">
      <c r="B61" s="12">
        <v>2</v>
      </c>
      <c r="C61" s="538" t="s">
        <v>452</v>
      </c>
      <c r="D61" s="539"/>
      <c r="E61" s="13"/>
      <c r="F61" s="14">
        <v>17</v>
      </c>
      <c r="G61" s="14">
        <v>8.5</v>
      </c>
      <c r="H61" s="15"/>
      <c r="I61" s="15">
        <v>1</v>
      </c>
      <c r="J61" s="16">
        <f>+F61*G61*I61</f>
        <v>144.5</v>
      </c>
    </row>
    <row r="62" spans="2:10">
      <c r="B62" s="12"/>
      <c r="C62" s="538"/>
      <c r="D62" s="539"/>
      <c r="E62" s="13"/>
      <c r="F62" s="14"/>
      <c r="G62" s="14"/>
      <c r="H62" s="15"/>
      <c r="I62" s="15"/>
      <c r="J62" s="16"/>
    </row>
    <row r="63" spans="2:10">
      <c r="B63" s="5" t="s">
        <v>3</v>
      </c>
      <c r="C63" s="6" t="s">
        <v>15</v>
      </c>
      <c r="D63" s="133" t="str">
        <f>+PTO!D20</f>
        <v>TUBERÍA PVC 4" SANITARIO BAJANTE AGUAS LLUVIAS</v>
      </c>
      <c r="E63" s="543" t="s">
        <v>17</v>
      </c>
      <c r="F63" s="543"/>
      <c r="G63" s="543"/>
      <c r="H63" s="543"/>
      <c r="I63" s="543"/>
      <c r="J63" s="11">
        <f>SUM(J64:J65)</f>
        <v>12</v>
      </c>
    </row>
    <row r="64" spans="2:10">
      <c r="B64" s="8">
        <f>+_xlfn.XLOOKUP(TEXT(D63,0),PTO!$D$5:$D$27,PTO!$C$5:$C$27)</f>
        <v>3.0199999999999996</v>
      </c>
      <c r="C64" s="6" t="s">
        <v>18</v>
      </c>
      <c r="D64" s="130" t="str">
        <f>+_xlfn.XLOOKUP(TEXT(D63,0),LIST[DESCRIPCIÓN],LIST[UNIDAD])</f>
        <v>M</v>
      </c>
      <c r="E64" s="9"/>
      <c r="F64" s="9" t="s">
        <v>19</v>
      </c>
      <c r="G64" s="9" t="s">
        <v>20</v>
      </c>
      <c r="H64" s="10" t="s">
        <v>23</v>
      </c>
      <c r="I64" s="9" t="s">
        <v>22</v>
      </c>
      <c r="J64" s="339" t="s">
        <v>35</v>
      </c>
    </row>
    <row r="65" spans="2:10">
      <c r="B65" s="12">
        <v>1</v>
      </c>
      <c r="C65" s="538" t="s">
        <v>453</v>
      </c>
      <c r="D65" s="539"/>
      <c r="E65" s="13"/>
      <c r="F65" s="14">
        <v>12</v>
      </c>
      <c r="G65" s="14"/>
      <c r="H65" s="15"/>
      <c r="I65" s="15">
        <v>1</v>
      </c>
      <c r="J65" s="16">
        <f>+F65*I65</f>
        <v>12</v>
      </c>
    </row>
    <row r="66" spans="2:10">
      <c r="B66" s="12"/>
      <c r="C66" s="538"/>
      <c r="D66" s="539"/>
      <c r="E66" s="13"/>
      <c r="F66" s="14"/>
      <c r="G66" s="14"/>
      <c r="H66" s="15"/>
      <c r="I66" s="15"/>
      <c r="J66" s="16"/>
    </row>
    <row r="67" spans="2:10">
      <c r="B67" s="5" t="s">
        <v>3</v>
      </c>
      <c r="C67" s="6" t="s">
        <v>15</v>
      </c>
      <c r="D67" s="133" t="str">
        <f>+PTO!D21</f>
        <v>FLANCHE METALICO CUBIERTA CAL.26</v>
      </c>
      <c r="E67" s="543" t="s">
        <v>17</v>
      </c>
      <c r="F67" s="543"/>
      <c r="G67" s="543"/>
      <c r="H67" s="543"/>
      <c r="I67" s="543"/>
      <c r="J67" s="11">
        <f>ROUND(SUM(J68:J70),2)</f>
        <v>26.5</v>
      </c>
    </row>
    <row r="68" spans="2:10">
      <c r="B68" s="8">
        <f>+_xlfn.XLOOKUP(TEXT(D67,0),PTO!$D$5:$D$27,PTO!$C$5:$C$27)</f>
        <v>3.0299999999999994</v>
      </c>
      <c r="C68" s="6" t="s">
        <v>18</v>
      </c>
      <c r="D68" s="130" t="str">
        <f>+_xlfn.XLOOKUP(TEXT(D67,0),LIST[DESCRIPCIÓN],LIST[UNIDAD])</f>
        <v>M</v>
      </c>
      <c r="E68" s="9"/>
      <c r="F68" s="9" t="s">
        <v>19</v>
      </c>
      <c r="G68" s="9" t="s">
        <v>20</v>
      </c>
      <c r="H68" s="10" t="s">
        <v>23</v>
      </c>
      <c r="I68" s="9" t="s">
        <v>22</v>
      </c>
      <c r="J68" s="339" t="s">
        <v>35</v>
      </c>
    </row>
    <row r="69" spans="2:10">
      <c r="B69" s="12">
        <v>1</v>
      </c>
      <c r="C69" s="538" t="s">
        <v>508</v>
      </c>
      <c r="D69" s="539"/>
      <c r="E69" s="13"/>
      <c r="F69" s="14">
        <v>19</v>
      </c>
      <c r="G69" s="14"/>
      <c r="H69" s="15"/>
      <c r="I69" s="15"/>
      <c r="J69" s="16">
        <f>+F69</f>
        <v>19</v>
      </c>
    </row>
    <row r="70" spans="2:10">
      <c r="B70" s="12">
        <v>2</v>
      </c>
      <c r="C70" s="538" t="s">
        <v>509</v>
      </c>
      <c r="D70" s="539"/>
      <c r="E70" s="13"/>
      <c r="F70" s="14">
        <v>7.5</v>
      </c>
      <c r="G70" s="14"/>
      <c r="H70" s="15"/>
      <c r="I70" s="15"/>
      <c r="J70" s="16">
        <f>+F70</f>
        <v>7.5</v>
      </c>
    </row>
    <row r="71" spans="2:10" ht="15" thickBot="1">
      <c r="B71" s="12"/>
      <c r="C71" s="538"/>
      <c r="D71" s="539"/>
      <c r="E71" s="13"/>
      <c r="F71" s="14"/>
      <c r="G71" s="14"/>
      <c r="H71" s="15"/>
      <c r="I71" s="15"/>
      <c r="J71" s="16"/>
    </row>
    <row r="72" spans="2:10" ht="16.2" thickBot="1">
      <c r="B72" s="540" t="str">
        <f>+PTO!D22</f>
        <v>ELECTRICIDAD Y ACCESORIOS ELECTRICOS (ELC)</v>
      </c>
      <c r="C72" s="541"/>
      <c r="D72" s="541"/>
      <c r="E72" s="541"/>
      <c r="F72" s="541"/>
      <c r="G72" s="541"/>
      <c r="H72" s="541"/>
      <c r="I72" s="541"/>
      <c r="J72" s="542"/>
    </row>
    <row r="73" spans="2:10">
      <c r="B73" s="5" t="s">
        <v>3</v>
      </c>
      <c r="C73" s="6" t="s">
        <v>15</v>
      </c>
      <c r="D73" s="133" t="str">
        <f>+PTO!D23</f>
        <v>RED ELECTRICA EN CABLE N°12 Y TUBO EMT 1/2" PVC</v>
      </c>
      <c r="E73" s="543" t="s">
        <v>17</v>
      </c>
      <c r="F73" s="543"/>
      <c r="G73" s="543"/>
      <c r="H73" s="543"/>
      <c r="I73" s="543"/>
      <c r="J73" s="11">
        <f>ROUND(SUM(J74:J78),2)</f>
        <v>81</v>
      </c>
    </row>
    <row r="74" spans="2:10">
      <c r="B74" s="8">
        <f>+_xlfn.XLOOKUP(TEXT(D73,0),PTO!$D$5:$D$27,PTO!$C$5:$C$27)</f>
        <v>4.01</v>
      </c>
      <c r="C74" s="6" t="s">
        <v>18</v>
      </c>
      <c r="D74" s="130" t="str">
        <f>+_xlfn.XLOOKUP(TEXT(D73,0),LIST[DESCRIPCIÓN],LIST[UNIDAD])</f>
        <v>M</v>
      </c>
      <c r="E74" s="9"/>
      <c r="F74" s="9" t="s">
        <v>19</v>
      </c>
      <c r="G74" s="9" t="s">
        <v>20</v>
      </c>
      <c r="H74" s="10" t="s">
        <v>23</v>
      </c>
      <c r="I74" s="9" t="s">
        <v>22</v>
      </c>
      <c r="J74" s="339" t="s">
        <v>35</v>
      </c>
    </row>
    <row r="75" spans="2:10">
      <c r="B75" s="12">
        <v>1</v>
      </c>
      <c r="C75" s="538" t="s">
        <v>511</v>
      </c>
      <c r="D75" s="539"/>
      <c r="E75" s="13"/>
      <c r="F75" s="14">
        <v>7</v>
      </c>
      <c r="G75" s="14"/>
      <c r="H75" s="15"/>
      <c r="I75" s="15">
        <v>7</v>
      </c>
      <c r="J75" s="16">
        <f>+F75*I75</f>
        <v>49</v>
      </c>
    </row>
    <row r="76" spans="2:10">
      <c r="B76" s="12">
        <v>2</v>
      </c>
      <c r="C76" s="538" t="s">
        <v>512</v>
      </c>
      <c r="D76" s="539"/>
      <c r="E76" s="13"/>
      <c r="F76" s="14">
        <v>20</v>
      </c>
      <c r="G76" s="14"/>
      <c r="H76" s="15"/>
      <c r="I76" s="15">
        <v>1</v>
      </c>
      <c r="J76" s="16">
        <f>+F76*I76</f>
        <v>20</v>
      </c>
    </row>
    <row r="77" spans="2:10">
      <c r="B77" s="12">
        <v>3</v>
      </c>
      <c r="C77" s="538" t="s">
        <v>513</v>
      </c>
      <c r="D77" s="539"/>
      <c r="E77" s="13"/>
      <c r="F77" s="14">
        <v>12</v>
      </c>
      <c r="G77" s="14"/>
      <c r="H77" s="15"/>
      <c r="I77" s="15">
        <v>1</v>
      </c>
      <c r="J77" s="16">
        <f>+F77*I77</f>
        <v>12</v>
      </c>
    </row>
    <row r="78" spans="2:10">
      <c r="B78" s="12"/>
      <c r="C78" s="538"/>
      <c r="D78" s="539"/>
      <c r="E78" s="13"/>
      <c r="F78" s="14"/>
      <c r="G78" s="14"/>
      <c r="H78" s="15"/>
      <c r="I78" s="15"/>
      <c r="J78" s="16"/>
    </row>
    <row r="79" spans="2:10" ht="29.25" customHeight="1">
      <c r="B79" s="5" t="s">
        <v>3</v>
      </c>
      <c r="C79" s="6" t="s">
        <v>15</v>
      </c>
      <c r="D79" s="134" t="str">
        <f>+PTO!D24</f>
        <v>PUNTO ELECTRICO DE CONEXIÓN DOBLE</v>
      </c>
      <c r="E79" s="543" t="s">
        <v>17</v>
      </c>
      <c r="F79" s="543"/>
      <c r="G79" s="543"/>
      <c r="H79" s="543"/>
      <c r="I79" s="543"/>
      <c r="J79" s="11">
        <f>ROUND(SUM(J80:J82),2)</f>
        <v>17</v>
      </c>
    </row>
    <row r="80" spans="2:10">
      <c r="B80" s="8">
        <f>+_xlfn.XLOOKUP(TEXT(D79,0),PTO!$D$5:$D$27,PTO!$C$5:$C$27)</f>
        <v>4.0199999999999996</v>
      </c>
      <c r="C80" s="6" t="s">
        <v>18</v>
      </c>
      <c r="D80" s="130" t="str">
        <f>+_xlfn.XLOOKUP(TEXT(D79,0),LIST[DESCRIPCIÓN],LIST[UNIDAD])</f>
        <v>UND</v>
      </c>
      <c r="E80" s="9"/>
      <c r="F80" s="9" t="s">
        <v>19</v>
      </c>
      <c r="G80" s="9" t="s">
        <v>20</v>
      </c>
      <c r="H80" s="10" t="s">
        <v>23</v>
      </c>
      <c r="I80" s="9" t="s">
        <v>22</v>
      </c>
      <c r="J80" s="339" t="s">
        <v>35</v>
      </c>
    </row>
    <row r="81" spans="2:12">
      <c r="B81" s="12">
        <v>1</v>
      </c>
      <c r="C81" s="538" t="s">
        <v>511</v>
      </c>
      <c r="D81" s="539"/>
      <c r="E81" s="13"/>
      <c r="F81" s="14"/>
      <c r="G81" s="14"/>
      <c r="H81" s="15"/>
      <c r="I81" s="15">
        <v>7</v>
      </c>
      <c r="J81" s="16">
        <f>+I81</f>
        <v>7</v>
      </c>
    </row>
    <row r="82" spans="2:12">
      <c r="B82" s="12">
        <v>1</v>
      </c>
      <c r="C82" s="538" t="s">
        <v>512</v>
      </c>
      <c r="D82" s="539"/>
      <c r="E82" s="13"/>
      <c r="F82" s="14"/>
      <c r="G82" s="14"/>
      <c r="H82" s="15"/>
      <c r="I82" s="15">
        <v>10</v>
      </c>
      <c r="J82" s="16">
        <f>+I82</f>
        <v>10</v>
      </c>
    </row>
    <row r="83" spans="2:12">
      <c r="B83" s="12"/>
      <c r="C83" s="125"/>
      <c r="D83" s="129"/>
      <c r="E83" s="13"/>
      <c r="F83" s="14"/>
      <c r="G83" s="14"/>
      <c r="H83" s="15"/>
      <c r="I83" s="15"/>
      <c r="J83" s="16"/>
    </row>
    <row r="84" spans="2:12" ht="28.8">
      <c r="B84" s="5" t="s">
        <v>3</v>
      </c>
      <c r="C84" s="6" t="s">
        <v>15</v>
      </c>
      <c r="D84" s="134" t="str">
        <f>+PTO!D25</f>
        <v>CANALETA ELECTRICA 12CMX20CMX2M (INCLUYE PUNTOS ELECTRICOS Y JACK)</v>
      </c>
      <c r="E84" s="543" t="s">
        <v>17</v>
      </c>
      <c r="F84" s="543"/>
      <c r="G84" s="543"/>
      <c r="H84" s="543"/>
      <c r="I84" s="543"/>
      <c r="J84" s="11">
        <f>ROUND(SUM(J85:J87),2)</f>
        <v>28</v>
      </c>
    </row>
    <row r="85" spans="2:12">
      <c r="B85" s="8">
        <f>+_xlfn.XLOOKUP(TEXT(D84,0),PTO!$D$5:$D$27,PTO!$C$5:$C$27)</f>
        <v>4.0299999999999994</v>
      </c>
      <c r="C85" s="6" t="s">
        <v>18</v>
      </c>
      <c r="D85" s="130" t="e">
        <f>+_xlfn.XLOOKUP(TEXT(D84,0),LIST[DESCRIPCIÓN],LIST[UNIDAD])</f>
        <v>#N/A</v>
      </c>
      <c r="E85" s="9"/>
      <c r="F85" s="9" t="s">
        <v>19</v>
      </c>
      <c r="G85" s="9" t="s">
        <v>20</v>
      </c>
      <c r="H85" s="10" t="s">
        <v>23</v>
      </c>
      <c r="I85" s="9" t="s">
        <v>22</v>
      </c>
      <c r="J85" s="339" t="s">
        <v>35</v>
      </c>
    </row>
    <row r="86" spans="2:12">
      <c r="B86" s="12">
        <v>1</v>
      </c>
      <c r="C86" s="538" t="s">
        <v>530</v>
      </c>
      <c r="D86" s="539"/>
      <c r="E86" s="13"/>
      <c r="F86" s="14">
        <v>28</v>
      </c>
      <c r="G86" s="14"/>
      <c r="H86" s="15"/>
      <c r="I86" s="15">
        <v>1</v>
      </c>
      <c r="J86" s="16">
        <f>+F86*I86</f>
        <v>28</v>
      </c>
    </row>
    <row r="87" spans="2:12">
      <c r="B87" s="12"/>
      <c r="C87" s="538"/>
      <c r="D87" s="539"/>
      <c r="E87" s="13"/>
      <c r="F87" s="14"/>
      <c r="G87" s="14"/>
      <c r="H87" s="15"/>
      <c r="I87" s="15"/>
      <c r="J87" s="16"/>
    </row>
    <row r="88" spans="2:12" ht="16.2" thickBot="1">
      <c r="B88" s="540" t="str">
        <f>+PTO!D26</f>
        <v>PISOS CERAMICOS, TERMINADOS Y ACABADOS (PTA)</v>
      </c>
      <c r="C88" s="541"/>
      <c r="D88" s="541"/>
      <c r="E88" s="541"/>
      <c r="F88" s="541"/>
      <c r="G88" s="541"/>
      <c r="H88" s="541"/>
      <c r="I88" s="541"/>
      <c r="J88" s="542"/>
    </row>
    <row r="89" spans="2:12">
      <c r="B89" s="5" t="s">
        <v>3</v>
      </c>
      <c r="C89" s="6" t="s">
        <v>15</v>
      </c>
      <c r="D89" s="131" t="str">
        <f>+PTO!D27</f>
        <v>CIELO RASO PVC 9 MM INCLUYE ESTRUCTURA</v>
      </c>
      <c r="E89" s="543" t="s">
        <v>17</v>
      </c>
      <c r="F89" s="543"/>
      <c r="G89" s="543"/>
      <c r="H89" s="543"/>
      <c r="I89" s="543"/>
      <c r="J89" s="11">
        <f>ROUND(SUM(J90:J92),1)</f>
        <v>75.8</v>
      </c>
    </row>
    <row r="90" spans="2:12">
      <c r="B90" s="8">
        <f>+_xlfn.XLOOKUP(TEXT(D89,0),PTO!$D$5:$D$27,PTO!$C$5:$C$27)</f>
        <v>5.01</v>
      </c>
      <c r="C90" s="6" t="s">
        <v>18</v>
      </c>
      <c r="D90" s="130" t="str">
        <f>+_xlfn.XLOOKUP(TEXT(D89,0),LIST[DESCRIPCIÓN],LIST[UNIDAD])</f>
        <v>M2</v>
      </c>
      <c r="E90" s="9"/>
      <c r="F90" s="9" t="s">
        <v>19</v>
      </c>
      <c r="G90" s="9" t="s">
        <v>20</v>
      </c>
      <c r="H90" s="10" t="s">
        <v>23</v>
      </c>
      <c r="I90" s="9" t="s">
        <v>22</v>
      </c>
      <c r="J90" s="339" t="s">
        <v>35</v>
      </c>
    </row>
    <row r="91" spans="2:12">
      <c r="B91" s="12">
        <v>1</v>
      </c>
      <c r="C91" s="538" t="s">
        <v>521</v>
      </c>
      <c r="D91" s="539"/>
      <c r="E91" s="13"/>
      <c r="F91" s="14">
        <v>9.76</v>
      </c>
      <c r="G91" s="14">
        <v>7.77</v>
      </c>
      <c r="H91" s="15"/>
      <c r="I91" s="15">
        <v>1</v>
      </c>
      <c r="J91" s="16">
        <f>+F91*G91</f>
        <v>75.8352</v>
      </c>
      <c r="L91" s="17"/>
    </row>
    <row r="92" spans="2:12" ht="15" thickBot="1">
      <c r="B92" s="12"/>
      <c r="C92" s="538"/>
      <c r="D92" s="539"/>
      <c r="E92" s="13"/>
      <c r="F92" s="14"/>
      <c r="G92" s="14"/>
      <c r="H92" s="15"/>
      <c r="I92" s="15"/>
      <c r="J92" s="16"/>
    </row>
    <row r="93" spans="2:12" ht="16.2" thickBot="1">
      <c r="B93" s="540" t="str">
        <f>+PTO!D28</f>
        <v>IET FRANCISCO JULIAN OLAYA</v>
      </c>
      <c r="C93" s="541"/>
      <c r="D93" s="541"/>
      <c r="E93" s="541"/>
      <c r="F93" s="541"/>
      <c r="G93" s="541"/>
      <c r="H93" s="541"/>
      <c r="I93" s="541"/>
      <c r="J93" s="542"/>
    </row>
    <row r="94" spans="2:12" ht="16.2" thickBot="1">
      <c r="B94" s="540" t="str">
        <f>+PTO!D29</f>
        <v>PRELIMINARES (P)</v>
      </c>
      <c r="C94" s="541"/>
      <c r="D94" s="541"/>
      <c r="E94" s="541"/>
      <c r="F94" s="541"/>
      <c r="G94" s="541"/>
      <c r="H94" s="541"/>
      <c r="I94" s="541"/>
      <c r="J94" s="542"/>
    </row>
    <row r="95" spans="2:12">
      <c r="B95" s="5" t="s">
        <v>3</v>
      </c>
      <c r="C95" s="6" t="s">
        <v>15</v>
      </c>
      <c r="D95" s="131" t="str">
        <f>+PTO!D30</f>
        <v>EXCAVACIÓN MANUAL EN MATERIAL COMÚN 0-2 MTS</v>
      </c>
      <c r="E95" s="543" t="s">
        <v>17</v>
      </c>
      <c r="F95" s="543"/>
      <c r="G95" s="543"/>
      <c r="H95" s="543"/>
      <c r="I95" s="543"/>
      <c r="J95" s="11">
        <f>ROUND(SUM(J96:J98),1)</f>
        <v>0.9</v>
      </c>
    </row>
    <row r="96" spans="2:12">
      <c r="B96" s="8">
        <f>+_xlfn.XLOOKUP(TEXT(D95,0),PTO!$D$5:$D$49,PTO!$C$5:$C$49)</f>
        <v>1.01</v>
      </c>
      <c r="C96" s="6" t="s">
        <v>18</v>
      </c>
      <c r="D96" s="130" t="str">
        <f>+_xlfn.XLOOKUP(TEXT(D95,0),LIST[DESCRIPCIÓN],LIST[UNIDAD])</f>
        <v>M3</v>
      </c>
      <c r="E96" s="9"/>
      <c r="F96" s="9" t="s">
        <v>19</v>
      </c>
      <c r="G96" s="9" t="s">
        <v>20</v>
      </c>
      <c r="H96" s="10" t="s">
        <v>23</v>
      </c>
      <c r="I96" s="9" t="s">
        <v>22</v>
      </c>
      <c r="J96" s="339" t="s">
        <v>35</v>
      </c>
    </row>
    <row r="97" spans="2:12" ht="15.6">
      <c r="B97" s="12">
        <v>1</v>
      </c>
      <c r="C97" s="538" t="s">
        <v>656</v>
      </c>
      <c r="D97" s="539"/>
      <c r="E97" s="421"/>
      <c r="F97" s="14">
        <v>1.2</v>
      </c>
      <c r="G97" s="14">
        <v>0.7</v>
      </c>
      <c r="H97" s="14">
        <v>1.05</v>
      </c>
      <c r="I97" s="15">
        <v>1</v>
      </c>
      <c r="J97" s="16">
        <f>+F97*G97*H97*I97</f>
        <v>0.88200000000000001</v>
      </c>
      <c r="L97" s="17"/>
    </row>
    <row r="98" spans="2:12">
      <c r="B98" s="12"/>
      <c r="C98" s="538"/>
      <c r="D98" s="539"/>
      <c r="E98" s="13"/>
      <c r="F98" s="14"/>
      <c r="G98" s="14"/>
      <c r="H98" s="15"/>
      <c r="I98" s="15"/>
      <c r="J98" s="16"/>
    </row>
    <row r="99" spans="2:12" ht="28.8">
      <c r="B99" s="5" t="s">
        <v>3</v>
      </c>
      <c r="C99" s="6" t="s">
        <v>15</v>
      </c>
      <c r="D99" s="131" t="str">
        <f>+PTO!D31</f>
        <v>DEMOLICIÓN MURO LADRILLO HASTA 15 CM ANCHO, INCLUYE RETIRO DE ESCOMBROS A 5 KM</v>
      </c>
      <c r="E99" s="543" t="s">
        <v>17</v>
      </c>
      <c r="F99" s="543"/>
      <c r="G99" s="543"/>
      <c r="H99" s="543"/>
      <c r="I99" s="543"/>
      <c r="J99" s="11">
        <f>ROUND(SUM(J100:J102),1)</f>
        <v>10.4</v>
      </c>
    </row>
    <row r="100" spans="2:12">
      <c r="B100" s="8">
        <f>+_xlfn.XLOOKUP(TEXT(D99,0),PTO!$D$5:$D$49,PTO!$C$5:$C$49)</f>
        <v>1.02</v>
      </c>
      <c r="C100" s="6" t="s">
        <v>18</v>
      </c>
      <c r="D100" s="130" t="e">
        <f>+_xlfn.XLOOKUP(TEXT(D99,0),LIST[DESCRIPCIÓN],LIST[UNIDAD])</f>
        <v>#N/A</v>
      </c>
      <c r="E100" s="9"/>
      <c r="F100" s="9" t="s">
        <v>19</v>
      </c>
      <c r="G100" s="9" t="s">
        <v>20</v>
      </c>
      <c r="H100" s="10" t="s">
        <v>23</v>
      </c>
      <c r="I100" s="9" t="s">
        <v>22</v>
      </c>
      <c r="J100" s="339" t="s">
        <v>35</v>
      </c>
    </row>
    <row r="101" spans="2:12">
      <c r="B101" s="12">
        <v>1</v>
      </c>
      <c r="C101" s="538" t="s">
        <v>657</v>
      </c>
      <c r="D101" s="539"/>
      <c r="E101" s="13"/>
      <c r="F101" s="14">
        <v>6.3</v>
      </c>
      <c r="G101" s="14"/>
      <c r="H101" s="15">
        <v>1.32</v>
      </c>
      <c r="I101" s="15">
        <v>1</v>
      </c>
      <c r="J101" s="16">
        <f>+F101*H101*I101</f>
        <v>8.3160000000000007</v>
      </c>
      <c r="L101" s="17"/>
    </row>
    <row r="102" spans="2:12">
      <c r="B102" s="12"/>
      <c r="C102" s="538"/>
      <c r="D102" s="539"/>
      <c r="E102" s="13"/>
      <c r="F102" s="14">
        <v>1.64</v>
      </c>
      <c r="G102" s="14"/>
      <c r="H102" s="15">
        <v>1.3</v>
      </c>
      <c r="I102" s="15">
        <v>1</v>
      </c>
      <c r="J102" s="16">
        <f>+F102*H102*I102</f>
        <v>2.1320000000000001</v>
      </c>
      <c r="L102" s="17"/>
    </row>
    <row r="103" spans="2:12" ht="15" thickBot="1">
      <c r="B103" s="12"/>
      <c r="C103" s="538"/>
      <c r="D103" s="539"/>
      <c r="E103" s="13"/>
      <c r="F103" s="14"/>
      <c r="G103" s="14"/>
      <c r="H103" s="15"/>
      <c r="I103" s="15"/>
      <c r="J103" s="16"/>
    </row>
    <row r="104" spans="2:12" ht="16.2" thickBot="1">
      <c r="B104" s="540" t="str">
        <f>+PTO!D32</f>
        <v>MAMPOSTERIA Y ACABADOS</v>
      </c>
      <c r="C104" s="541"/>
      <c r="D104" s="541"/>
      <c r="E104" s="541"/>
      <c r="F104" s="541"/>
      <c r="G104" s="541"/>
      <c r="H104" s="541"/>
      <c r="I104" s="541"/>
      <c r="J104" s="542"/>
    </row>
    <row r="105" spans="2:12">
      <c r="B105" s="5" t="s">
        <v>3</v>
      </c>
      <c r="C105" s="6" t="s">
        <v>15</v>
      </c>
      <c r="D105" s="131" t="str">
        <f>+PTO!D33</f>
        <v>SUMINISTRO E INSTALACIÓN DE LADRILLO TOLETE 25X12X6CM</v>
      </c>
      <c r="E105" s="543" t="s">
        <v>17</v>
      </c>
      <c r="F105" s="543"/>
      <c r="G105" s="543"/>
      <c r="H105" s="543"/>
      <c r="I105" s="543"/>
      <c r="J105" s="11">
        <f>ROUND(SUM(J106:J108),1)</f>
        <v>10.4</v>
      </c>
    </row>
    <row r="106" spans="2:12">
      <c r="B106" s="8">
        <f>+_xlfn.XLOOKUP(TEXT(D105,0),PTO!$D$5:$D$49,PTO!$C$5:$C$49)</f>
        <v>2.0099999999999998</v>
      </c>
      <c r="C106" s="6" t="s">
        <v>18</v>
      </c>
      <c r="D106" s="130" t="str">
        <f>+_xlfn.XLOOKUP(TEXT(D105,0),LIST3[DESCRIPCIÓN],LIST3[UNIDAD])</f>
        <v>M2</v>
      </c>
      <c r="E106" s="9"/>
      <c r="F106" s="9" t="s">
        <v>19</v>
      </c>
      <c r="G106" s="9" t="s">
        <v>20</v>
      </c>
      <c r="H106" s="10" t="s">
        <v>23</v>
      </c>
      <c r="I106" s="9" t="s">
        <v>22</v>
      </c>
      <c r="J106" s="339" t="s">
        <v>35</v>
      </c>
    </row>
    <row r="107" spans="2:12">
      <c r="B107" s="12">
        <v>1</v>
      </c>
      <c r="C107" s="538" t="s">
        <v>675</v>
      </c>
      <c r="D107" s="539"/>
      <c r="E107" s="9"/>
      <c r="F107" s="14">
        <v>6.3</v>
      </c>
      <c r="G107" s="14"/>
      <c r="H107" s="15">
        <v>1.32</v>
      </c>
      <c r="I107" s="15">
        <v>1</v>
      </c>
      <c r="J107" s="16">
        <f>+F107*H107*I107</f>
        <v>8.3160000000000007</v>
      </c>
      <c r="L107" s="17"/>
    </row>
    <row r="108" spans="2:12">
      <c r="B108" s="12"/>
      <c r="C108" s="19"/>
      <c r="D108" s="129"/>
      <c r="E108" s="9"/>
      <c r="F108" s="14">
        <v>1.64</v>
      </c>
      <c r="G108" s="14"/>
      <c r="H108" s="15">
        <v>1.3</v>
      </c>
      <c r="I108" s="15">
        <v>1</v>
      </c>
      <c r="J108" s="16">
        <f>+F108*H108*I108</f>
        <v>2.1320000000000001</v>
      </c>
      <c r="L108" s="17"/>
    </row>
    <row r="109" spans="2:12">
      <c r="B109" s="12"/>
      <c r="C109" s="538"/>
      <c r="D109" s="539"/>
      <c r="E109" s="13"/>
      <c r="F109" s="14"/>
      <c r="G109" s="14"/>
      <c r="H109" s="15"/>
      <c r="I109" s="15"/>
      <c r="J109" s="16"/>
    </row>
    <row r="110" spans="2:12">
      <c r="B110" s="5" t="s">
        <v>3</v>
      </c>
      <c r="C110" s="6" t="s">
        <v>15</v>
      </c>
      <c r="D110" s="131" t="str">
        <f>+PTO!D34</f>
        <v>PAÑETE MURO 1:4   E=0.02M</v>
      </c>
      <c r="E110" s="543" t="s">
        <v>17</v>
      </c>
      <c r="F110" s="543"/>
      <c r="G110" s="543"/>
      <c r="H110" s="543"/>
      <c r="I110" s="543"/>
      <c r="J110" s="11">
        <f>ROUND(SUM(J111:J115),1)</f>
        <v>13.4</v>
      </c>
    </row>
    <row r="111" spans="2:12">
      <c r="B111" s="8">
        <f>+_xlfn.XLOOKUP(TEXT(D110,0),PTO!$D$5:$D$49,PTO!$C$5:$C$49)</f>
        <v>2.0199999999999996</v>
      </c>
      <c r="C111" s="6" t="s">
        <v>18</v>
      </c>
      <c r="D111" s="130" t="str">
        <f>+_xlfn.XLOOKUP(TEXT(D110,0),LIST3[DESCRIPCIÓN],LIST3[UNIDAD])</f>
        <v>M2</v>
      </c>
      <c r="E111" s="9"/>
      <c r="F111" s="9" t="s">
        <v>19</v>
      </c>
      <c r="G111" s="9" t="s">
        <v>20</v>
      </c>
      <c r="H111" s="10" t="s">
        <v>23</v>
      </c>
      <c r="I111" s="9" t="s">
        <v>22</v>
      </c>
      <c r="J111" s="339" t="s">
        <v>35</v>
      </c>
    </row>
    <row r="112" spans="2:12">
      <c r="B112" s="12">
        <v>1</v>
      </c>
      <c r="C112" s="538" t="s">
        <v>675</v>
      </c>
      <c r="D112" s="539"/>
      <c r="E112" s="9"/>
      <c r="F112" s="14">
        <v>6.3</v>
      </c>
      <c r="G112" s="14"/>
      <c r="H112" s="15">
        <v>1.32</v>
      </c>
      <c r="I112" s="9">
        <v>1</v>
      </c>
      <c r="J112" s="16">
        <f>+F112*H112*I112</f>
        <v>8.3160000000000007</v>
      </c>
      <c r="L112" s="17"/>
    </row>
    <row r="113" spans="2:12">
      <c r="B113" s="12"/>
      <c r="C113" s="538" t="s">
        <v>675</v>
      </c>
      <c r="D113" s="539"/>
      <c r="E113" s="9"/>
      <c r="F113" s="14">
        <v>1.64</v>
      </c>
      <c r="G113" s="14"/>
      <c r="H113" s="15">
        <v>1.3</v>
      </c>
      <c r="I113" s="9">
        <v>1</v>
      </c>
      <c r="J113" s="16">
        <f>+F113*H113*I113</f>
        <v>2.1320000000000001</v>
      </c>
      <c r="L113" s="17"/>
    </row>
    <row r="114" spans="2:12">
      <c r="B114" s="12"/>
      <c r="C114" s="538" t="s">
        <v>676</v>
      </c>
      <c r="D114" s="539"/>
      <c r="E114" s="9"/>
      <c r="F114" s="14">
        <v>3</v>
      </c>
      <c r="G114" s="14"/>
      <c r="H114" s="15">
        <v>1</v>
      </c>
      <c r="I114" s="9">
        <v>1</v>
      </c>
      <c r="J114" s="16">
        <f>+F114*H114*I114</f>
        <v>3</v>
      </c>
      <c r="L114" s="17"/>
    </row>
    <row r="115" spans="2:12">
      <c r="B115" s="12"/>
      <c r="C115" s="538"/>
      <c r="D115" s="539"/>
      <c r="E115" s="13"/>
      <c r="F115" s="14"/>
      <c r="G115" s="14"/>
      <c r="H115" s="15"/>
      <c r="I115" s="15"/>
      <c r="J115" s="16"/>
    </row>
    <row r="116" spans="2:12">
      <c r="B116" s="5" t="s">
        <v>3</v>
      </c>
      <c r="C116" s="6" t="s">
        <v>15</v>
      </c>
      <c r="D116" s="131" t="str">
        <f>+PTO!D35</f>
        <v>PINTURA TIPO 1 INTERIOR, DOS MANOS</v>
      </c>
      <c r="E116" s="543" t="s">
        <v>17</v>
      </c>
      <c r="F116" s="543"/>
      <c r="G116" s="543"/>
      <c r="H116" s="543"/>
      <c r="I116" s="543"/>
      <c r="J116" s="11">
        <f>ROUND(SUM(J117:J119),1)</f>
        <v>10.4</v>
      </c>
    </row>
    <row r="117" spans="2:12">
      <c r="B117" s="8">
        <f>+_xlfn.XLOOKUP(TEXT(D116,0),PTO!$D$5:$D$49,PTO!$C$5:$C$49)</f>
        <v>2.0299999999999994</v>
      </c>
      <c r="C117" s="6" t="s">
        <v>18</v>
      </c>
      <c r="D117" s="130" t="str">
        <f>+_xlfn.XLOOKUP(TEXT(D116,0),LIST3[DESCRIPCIÓN],LIST3[UNIDAD])</f>
        <v>M2</v>
      </c>
      <c r="E117" s="9"/>
      <c r="F117" s="9" t="s">
        <v>19</v>
      </c>
      <c r="G117" s="9" t="s">
        <v>20</v>
      </c>
      <c r="H117" s="10" t="s">
        <v>23</v>
      </c>
      <c r="I117" s="9" t="s">
        <v>22</v>
      </c>
      <c r="J117" s="339" t="s">
        <v>35</v>
      </c>
    </row>
    <row r="118" spans="2:12">
      <c r="B118" s="12">
        <v>1</v>
      </c>
      <c r="C118" s="538" t="s">
        <v>675</v>
      </c>
      <c r="D118" s="539"/>
      <c r="E118" s="9"/>
      <c r="F118" s="14">
        <v>6.3</v>
      </c>
      <c r="G118" s="14"/>
      <c r="H118" s="15">
        <v>1.32</v>
      </c>
      <c r="I118" s="15">
        <v>1</v>
      </c>
      <c r="J118" s="16">
        <f>+F118*H118*I118</f>
        <v>8.3160000000000007</v>
      </c>
      <c r="L118" s="17"/>
    </row>
    <row r="119" spans="2:12">
      <c r="B119" s="12"/>
      <c r="C119" s="19"/>
      <c r="D119" s="129"/>
      <c r="E119" s="9"/>
      <c r="F119" s="14">
        <v>1.64</v>
      </c>
      <c r="G119" s="14"/>
      <c r="H119" s="15">
        <v>1.3</v>
      </c>
      <c r="I119" s="15">
        <v>1</v>
      </c>
      <c r="J119" s="16">
        <f>+F119*H119*I119</f>
        <v>2.1320000000000001</v>
      </c>
      <c r="L119" s="17"/>
    </row>
    <row r="120" spans="2:12" ht="15" thickBot="1">
      <c r="B120" s="12"/>
      <c r="C120" s="538"/>
      <c r="D120" s="539"/>
      <c r="E120" s="13"/>
      <c r="F120" s="14"/>
      <c r="G120" s="14"/>
      <c r="H120" s="15"/>
      <c r="I120" s="15"/>
      <c r="J120" s="16"/>
    </row>
    <row r="121" spans="2:12" ht="16.2" thickBot="1">
      <c r="B121" s="540" t="str">
        <f>+PTO!D36</f>
        <v>CONCRETO Y REFUERZO</v>
      </c>
      <c r="C121" s="541"/>
      <c r="D121" s="541"/>
      <c r="E121" s="541"/>
      <c r="F121" s="541"/>
      <c r="G121" s="541"/>
      <c r="H121" s="541"/>
      <c r="I121" s="541"/>
      <c r="J121" s="542"/>
    </row>
    <row r="122" spans="2:12">
      <c r="B122" s="5" t="s">
        <v>3</v>
      </c>
      <c r="C122" s="6" t="s">
        <v>15</v>
      </c>
      <c r="D122" s="131" t="str">
        <f>+PTO!D37</f>
        <v>COLUMNA CONCRETO 3.000 PSI 20X12 CM</v>
      </c>
      <c r="E122" s="543" t="s">
        <v>17</v>
      </c>
      <c r="F122" s="543"/>
      <c r="G122" s="543"/>
      <c r="H122" s="543"/>
      <c r="I122" s="543"/>
      <c r="J122" s="11">
        <f>ROUND(SUM(J123:J125),1)</f>
        <v>5.3</v>
      </c>
    </row>
    <row r="123" spans="2:12">
      <c r="B123" s="8">
        <f>+_xlfn.XLOOKUP(TEXT(D122,0),PTO!$D$5:$D$49,PTO!$C$5:$C$49)</f>
        <v>3.01</v>
      </c>
      <c r="C123" s="6" t="s">
        <v>18</v>
      </c>
      <c r="D123" s="130" t="str">
        <f>+_xlfn.XLOOKUP(TEXT(D122,0),LIST3[DESCRIPCIÓN],LIST3[UNIDAD])</f>
        <v>M</v>
      </c>
      <c r="E123" s="9"/>
      <c r="F123" s="9" t="s">
        <v>19</v>
      </c>
      <c r="G123" s="9" t="s">
        <v>20</v>
      </c>
      <c r="H123" s="10" t="s">
        <v>23</v>
      </c>
      <c r="I123" s="9" t="s">
        <v>22</v>
      </c>
      <c r="J123" s="339" t="s">
        <v>35</v>
      </c>
    </row>
    <row r="124" spans="2:12">
      <c r="B124" s="12">
        <v>1</v>
      </c>
      <c r="C124" s="559" t="s">
        <v>678</v>
      </c>
      <c r="D124" s="560"/>
      <c r="E124" s="13"/>
      <c r="F124" s="14"/>
      <c r="G124" s="14"/>
      <c r="H124" s="15">
        <v>2.65</v>
      </c>
      <c r="I124" s="15">
        <v>2</v>
      </c>
      <c r="J124" s="16">
        <f>+H124*I124</f>
        <v>5.3</v>
      </c>
      <c r="L124" s="17"/>
    </row>
    <row r="125" spans="2:12">
      <c r="B125" s="12"/>
      <c r="C125" s="19"/>
      <c r="D125" s="129"/>
      <c r="E125" s="9"/>
      <c r="F125" s="14"/>
      <c r="G125" s="14"/>
      <c r="H125" s="15"/>
      <c r="I125" s="15"/>
      <c r="J125" s="16">
        <f>+F125*H125*I125</f>
        <v>0</v>
      </c>
      <c r="L125" s="17"/>
    </row>
    <row r="126" spans="2:12">
      <c r="B126" s="5" t="s">
        <v>3</v>
      </c>
      <c r="C126" s="6" t="s">
        <v>15</v>
      </c>
      <c r="D126" s="131" t="str">
        <f>+PTO!D38</f>
        <v>ZAPATA CONCRETO 3.000 PSI 120X70X30 CM</v>
      </c>
      <c r="E126" s="543" t="s">
        <v>17</v>
      </c>
      <c r="F126" s="543"/>
      <c r="G126" s="543"/>
      <c r="H126" s="543"/>
      <c r="I126" s="543"/>
      <c r="J126" s="11">
        <f>ROUND(SUM(J127:J129),1)</f>
        <v>1</v>
      </c>
    </row>
    <row r="127" spans="2:12">
      <c r="B127" s="8">
        <f>+_xlfn.XLOOKUP(TEXT(D126,0),PTO!$D$5:$D$49,PTO!$C$5:$C$49)</f>
        <v>3.0199999999999996</v>
      </c>
      <c r="C127" s="6" t="s">
        <v>18</v>
      </c>
      <c r="D127" s="130" t="str">
        <f>+_xlfn.XLOOKUP(TEXT(D126,0),LIST3[DESCRIPCIÓN],LIST3[UNIDAD])</f>
        <v>UND</v>
      </c>
      <c r="E127" s="9"/>
      <c r="F127" s="9" t="s">
        <v>19</v>
      </c>
      <c r="G127" s="9" t="s">
        <v>20</v>
      </c>
      <c r="H127" s="10" t="s">
        <v>23</v>
      </c>
      <c r="I127" s="9" t="s">
        <v>22</v>
      </c>
      <c r="J127" s="339" t="s">
        <v>35</v>
      </c>
    </row>
    <row r="128" spans="2:12" ht="14.4" customHeight="1">
      <c r="B128" s="12">
        <v>1</v>
      </c>
      <c r="C128" s="538" t="s">
        <v>679</v>
      </c>
      <c r="D128" s="539"/>
      <c r="E128" s="13"/>
      <c r="F128" s="14"/>
      <c r="G128" s="14"/>
      <c r="H128" s="15"/>
      <c r="I128" s="15">
        <v>1</v>
      </c>
      <c r="J128" s="16">
        <f>+I128</f>
        <v>1</v>
      </c>
      <c r="L128" s="17"/>
    </row>
    <row r="129" spans="2:12">
      <c r="B129" s="12"/>
      <c r="C129" s="19"/>
      <c r="D129" s="129"/>
      <c r="E129" s="9"/>
      <c r="F129" s="14"/>
      <c r="G129" s="14"/>
      <c r="H129" s="15"/>
      <c r="I129" s="15"/>
      <c r="J129" s="16">
        <f>+F129*H129*I129</f>
        <v>0</v>
      </c>
      <c r="L129" s="17"/>
    </row>
    <row r="130" spans="2:12">
      <c r="B130" s="5" t="s">
        <v>3</v>
      </c>
      <c r="C130" s="6" t="s">
        <v>15</v>
      </c>
      <c r="D130" s="131" t="str">
        <f>+PTO!D39</f>
        <v>COLUMNA CONCRETO 3.000 PSI 30X30 CM</v>
      </c>
      <c r="E130" s="543" t="s">
        <v>17</v>
      </c>
      <c r="F130" s="543"/>
      <c r="G130" s="543"/>
      <c r="H130" s="543"/>
      <c r="I130" s="543"/>
      <c r="J130" s="11">
        <f>ROUND(SUM(J131:J133),1)</f>
        <v>0.8</v>
      </c>
    </row>
    <row r="131" spans="2:12">
      <c r="B131" s="8">
        <f>+_xlfn.XLOOKUP(TEXT(D130,0),PTO!$D$5:$D$49,PTO!$C$5:$C$49)</f>
        <v>3.0299999999999994</v>
      </c>
      <c r="C131" s="6" t="s">
        <v>18</v>
      </c>
      <c r="D131" s="130" t="str">
        <f>+_xlfn.XLOOKUP(TEXT(D130,0),LIST3[DESCRIPCIÓN],LIST3[UNIDAD])</f>
        <v>M</v>
      </c>
      <c r="E131" s="9"/>
      <c r="F131" s="9" t="s">
        <v>19</v>
      </c>
      <c r="G131" s="9" t="s">
        <v>20</v>
      </c>
      <c r="H131" s="10" t="s">
        <v>23</v>
      </c>
      <c r="I131" s="9" t="s">
        <v>22</v>
      </c>
      <c r="J131" s="339" t="s">
        <v>35</v>
      </c>
    </row>
    <row r="132" spans="2:12" ht="14.4" customHeight="1">
      <c r="B132" s="12">
        <v>1</v>
      </c>
      <c r="C132" s="538" t="s">
        <v>680</v>
      </c>
      <c r="D132" s="539"/>
      <c r="E132" s="13"/>
      <c r="F132" s="14"/>
      <c r="G132" s="14"/>
      <c r="H132" s="15"/>
      <c r="I132" s="15">
        <v>0.8</v>
      </c>
      <c r="J132" s="16">
        <f>+I132</f>
        <v>0.8</v>
      </c>
      <c r="L132" s="17"/>
    </row>
    <row r="133" spans="2:12">
      <c r="B133" s="12"/>
      <c r="C133" s="19"/>
      <c r="D133" s="129"/>
      <c r="E133" s="9"/>
      <c r="F133" s="14"/>
      <c r="G133" s="14"/>
      <c r="H133" s="15"/>
      <c r="I133" s="15"/>
      <c r="J133" s="16">
        <f>+F133*H133*I133</f>
        <v>0</v>
      </c>
      <c r="L133" s="17"/>
    </row>
    <row r="134" spans="2:12" ht="28.8">
      <c r="B134" s="5" t="s">
        <v>3</v>
      </c>
      <c r="C134" s="6" t="s">
        <v>15</v>
      </c>
      <c r="D134" s="131" t="str">
        <f>+PTO!D40</f>
        <v>ADHESIVO EPOXICO DE CONCRETO FRESCO CON CONCRETO ANTIGUO (USO ESTRUCTURAL)</v>
      </c>
      <c r="E134" s="543" t="s">
        <v>17</v>
      </c>
      <c r="F134" s="543"/>
      <c r="G134" s="543"/>
      <c r="H134" s="543"/>
      <c r="I134" s="543"/>
      <c r="J134" s="11">
        <f>ROUND(SUM(J135:J137),1)</f>
        <v>0.1</v>
      </c>
    </row>
    <row r="135" spans="2:12">
      <c r="B135" s="8">
        <f>+_xlfn.XLOOKUP(TEXT(D134,0),PTO!$D$5:$D$49,PTO!$C$5:$C$49)</f>
        <v>3.0399999999999991</v>
      </c>
      <c r="C135" s="6" t="s">
        <v>18</v>
      </c>
      <c r="D135" s="130" t="str">
        <f>+_xlfn.XLOOKUP(TEXT(D134,0),LIST3[DESCRIPCIÓN],LIST3[UNIDAD])</f>
        <v>M2</v>
      </c>
      <c r="E135" s="9"/>
      <c r="F135" s="9" t="s">
        <v>19</v>
      </c>
      <c r="G135" s="9" t="s">
        <v>20</v>
      </c>
      <c r="H135" s="10" t="s">
        <v>23</v>
      </c>
      <c r="I135" s="9" t="s">
        <v>22</v>
      </c>
      <c r="J135" s="339" t="s">
        <v>35</v>
      </c>
    </row>
    <row r="136" spans="2:12" ht="14.4" customHeight="1">
      <c r="B136" s="12">
        <v>1</v>
      </c>
      <c r="C136" s="538" t="s">
        <v>681</v>
      </c>
      <c r="D136" s="539"/>
      <c r="E136" s="13"/>
      <c r="F136" s="14">
        <v>0.3</v>
      </c>
      <c r="G136" s="14">
        <v>0.3</v>
      </c>
      <c r="H136" s="15"/>
      <c r="I136" s="15">
        <v>1</v>
      </c>
      <c r="J136" s="16">
        <f>+F136*G136*I136</f>
        <v>0.09</v>
      </c>
      <c r="L136" s="17"/>
    </row>
    <row r="137" spans="2:12">
      <c r="B137" s="12"/>
      <c r="C137" s="19"/>
      <c r="D137" s="129"/>
      <c r="E137" s="9"/>
      <c r="F137" s="14"/>
      <c r="G137" s="14"/>
      <c r="H137" s="15"/>
      <c r="I137" s="15"/>
      <c r="J137" s="16">
        <f>+F137*H137*I137</f>
        <v>0</v>
      </c>
      <c r="L137" s="17"/>
    </row>
    <row r="138" spans="2:12">
      <c r="B138" s="5" t="s">
        <v>3</v>
      </c>
      <c r="C138" s="6" t="s">
        <v>15</v>
      </c>
      <c r="D138" s="131" t="str">
        <f>+PTO!D41</f>
        <v>ACERO DE REFUERZO 60.000 PSI</v>
      </c>
      <c r="E138" s="543" t="s">
        <v>17</v>
      </c>
      <c r="F138" s="543"/>
      <c r="G138" s="543"/>
      <c r="H138" s="543"/>
      <c r="I138" s="543"/>
      <c r="J138" s="11">
        <f>ROUNDUP(SUM(J139:J145),1)</f>
        <v>54.1</v>
      </c>
    </row>
    <row r="139" spans="2:12">
      <c r="B139" s="8">
        <f>+_xlfn.XLOOKUP(TEXT(D138,0),PTO!$D$5:$D$49,PTO!$C$5:$C$49)</f>
        <v>3.0499999999999989</v>
      </c>
      <c r="C139" s="6" t="s">
        <v>18</v>
      </c>
      <c r="D139" s="130" t="str">
        <f>+_xlfn.XLOOKUP(TEXT(D138,0),LIST3[DESCRIPCIÓN],LIST3[UNIDAD])</f>
        <v>KG</v>
      </c>
      <c r="E139" s="9"/>
      <c r="F139" s="9" t="s">
        <v>19</v>
      </c>
      <c r="G139" s="9" t="s">
        <v>682</v>
      </c>
      <c r="H139" s="10" t="s">
        <v>683</v>
      </c>
      <c r="I139" s="9" t="s">
        <v>22</v>
      </c>
      <c r="J139" s="339" t="s">
        <v>35</v>
      </c>
    </row>
    <row r="140" spans="2:12" ht="14.4" customHeight="1">
      <c r="B140" s="12">
        <v>1</v>
      </c>
      <c r="C140" s="544" t="s">
        <v>684</v>
      </c>
      <c r="D140" s="544"/>
      <c r="E140" s="13"/>
      <c r="F140" s="126">
        <v>2.93</v>
      </c>
      <c r="G140" s="126">
        <v>4</v>
      </c>
      <c r="H140" s="15">
        <v>0.99</v>
      </c>
      <c r="I140" s="15">
        <v>8</v>
      </c>
      <c r="J140" s="16">
        <f>+F140*H140*I140</f>
        <v>23.2056</v>
      </c>
      <c r="L140" s="17"/>
    </row>
    <row r="141" spans="2:12" ht="14.4" customHeight="1">
      <c r="B141" s="12"/>
      <c r="C141" s="544" t="s">
        <v>685</v>
      </c>
      <c r="D141" s="544"/>
      <c r="E141" s="13"/>
      <c r="F141" s="126">
        <v>0.62</v>
      </c>
      <c r="G141" s="126">
        <v>3</v>
      </c>
      <c r="H141" s="15">
        <v>0.25</v>
      </c>
      <c r="I141" s="15">
        <v>42</v>
      </c>
      <c r="J141" s="16">
        <f t="shared" ref="J141:J145" si="0">+F141*H141*I141</f>
        <v>6.51</v>
      </c>
      <c r="L141" s="17"/>
    </row>
    <row r="142" spans="2:12" ht="14.4" customHeight="1">
      <c r="B142" s="12"/>
      <c r="C142" s="544" t="s">
        <v>686</v>
      </c>
      <c r="D142" s="544"/>
      <c r="E142" s="13"/>
      <c r="F142" s="126">
        <v>0.76</v>
      </c>
      <c r="G142" s="4">
        <v>4</v>
      </c>
      <c r="H142" s="15">
        <v>0.99</v>
      </c>
      <c r="I142" s="15">
        <v>6</v>
      </c>
      <c r="J142" s="16">
        <f t="shared" si="0"/>
        <v>4.5144000000000002</v>
      </c>
      <c r="L142" s="17"/>
    </row>
    <row r="143" spans="2:12" ht="14.4" customHeight="1">
      <c r="B143" s="12"/>
      <c r="C143" s="544" t="s">
        <v>687</v>
      </c>
      <c r="D143" s="544"/>
      <c r="E143" s="13"/>
      <c r="F143" s="126">
        <v>1.26</v>
      </c>
      <c r="G143" s="4">
        <v>4</v>
      </c>
      <c r="H143" s="15">
        <v>0.99</v>
      </c>
      <c r="I143" s="15">
        <v>4</v>
      </c>
      <c r="J143" s="16">
        <f t="shared" si="0"/>
        <v>4.9896000000000003</v>
      </c>
      <c r="L143" s="17"/>
    </row>
    <row r="144" spans="2:12" ht="14.4" customHeight="1">
      <c r="B144" s="12"/>
      <c r="C144" s="544" t="s">
        <v>688</v>
      </c>
      <c r="D144" s="544"/>
      <c r="E144" s="13"/>
      <c r="F144" s="126">
        <v>1.37</v>
      </c>
      <c r="G144" s="4">
        <v>4</v>
      </c>
      <c r="H144" s="15">
        <v>0.99</v>
      </c>
      <c r="I144" s="15">
        <v>8</v>
      </c>
      <c r="J144" s="16">
        <f t="shared" si="0"/>
        <v>10.8504</v>
      </c>
      <c r="L144" s="17"/>
    </row>
    <row r="145" spans="2:12">
      <c r="B145" s="12"/>
      <c r="C145" s="544" t="s">
        <v>689</v>
      </c>
      <c r="D145" s="544"/>
      <c r="E145" s="9"/>
      <c r="F145" s="126">
        <v>0.78</v>
      </c>
      <c r="G145" s="4">
        <v>3</v>
      </c>
      <c r="H145" s="15">
        <v>0.56000000000000005</v>
      </c>
      <c r="I145" s="15">
        <v>9</v>
      </c>
      <c r="J145" s="16">
        <f t="shared" si="0"/>
        <v>3.9312000000000005</v>
      </c>
      <c r="L145" s="17"/>
    </row>
    <row r="146" spans="2:12">
      <c r="B146" s="12"/>
      <c r="C146" s="538"/>
      <c r="D146" s="539"/>
      <c r="E146" s="13"/>
      <c r="F146" s="14"/>
      <c r="G146" s="14"/>
      <c r="H146" s="15"/>
      <c r="I146" s="15"/>
      <c r="J146" s="16"/>
    </row>
  </sheetData>
  <mergeCells count="111">
    <mergeCell ref="E116:I116"/>
    <mergeCell ref="C118:D118"/>
    <mergeCell ref="C120:D120"/>
    <mergeCell ref="B121:J121"/>
    <mergeCell ref="E122:I122"/>
    <mergeCell ref="C124:D124"/>
    <mergeCell ref="C146:D146"/>
    <mergeCell ref="E126:I126"/>
    <mergeCell ref="C128:D128"/>
    <mergeCell ref="E130:I130"/>
    <mergeCell ref="C132:D132"/>
    <mergeCell ref="E134:I134"/>
    <mergeCell ref="C136:D136"/>
    <mergeCell ref="E138:I138"/>
    <mergeCell ref="C140:D140"/>
    <mergeCell ref="C141:D141"/>
    <mergeCell ref="C142:D142"/>
    <mergeCell ref="C143:D143"/>
    <mergeCell ref="C144:D144"/>
    <mergeCell ref="C145:D145"/>
    <mergeCell ref="B104:J104"/>
    <mergeCell ref="E105:I105"/>
    <mergeCell ref="C107:D107"/>
    <mergeCell ref="C109:D109"/>
    <mergeCell ref="E110:I110"/>
    <mergeCell ref="C112:D112"/>
    <mergeCell ref="C115:D115"/>
    <mergeCell ref="C113:D113"/>
    <mergeCell ref="C114:D114"/>
    <mergeCell ref="C103:D103"/>
    <mergeCell ref="C92:D92"/>
    <mergeCell ref="C86:D86"/>
    <mergeCell ref="C87:D87"/>
    <mergeCell ref="B94:J94"/>
    <mergeCell ref="E95:I95"/>
    <mergeCell ref="C97:D97"/>
    <mergeCell ref="C98:D98"/>
    <mergeCell ref="B93:J93"/>
    <mergeCell ref="C102:D102"/>
    <mergeCell ref="C77:D77"/>
    <mergeCell ref="C78:D78"/>
    <mergeCell ref="E79:I79"/>
    <mergeCell ref="C81:D81"/>
    <mergeCell ref="C82:D82"/>
    <mergeCell ref="B88:J88"/>
    <mergeCell ref="E99:I99"/>
    <mergeCell ref="C101:D101"/>
    <mergeCell ref="E52:I52"/>
    <mergeCell ref="C54:D54"/>
    <mergeCell ref="C55:D55"/>
    <mergeCell ref="B56:J56"/>
    <mergeCell ref="E57:I57"/>
    <mergeCell ref="E89:I89"/>
    <mergeCell ref="C91:D91"/>
    <mergeCell ref="E73:I73"/>
    <mergeCell ref="C75:D75"/>
    <mergeCell ref="C62:D62"/>
    <mergeCell ref="C61:D61"/>
    <mergeCell ref="E63:I63"/>
    <mergeCell ref="C65:D65"/>
    <mergeCell ref="C66:D66"/>
    <mergeCell ref="E67:I67"/>
    <mergeCell ref="C69:D69"/>
    <mergeCell ref="B1:J1"/>
    <mergeCell ref="B2:C3"/>
    <mergeCell ref="D2:J3"/>
    <mergeCell ref="B5:J5"/>
    <mergeCell ref="E6:I6"/>
    <mergeCell ref="C8:D8"/>
    <mergeCell ref="C9:D9"/>
    <mergeCell ref="E21:I21"/>
    <mergeCell ref="E84:I84"/>
    <mergeCell ref="E11:I11"/>
    <mergeCell ref="C14:D14"/>
    <mergeCell ref="C15:D15"/>
    <mergeCell ref="C13:D13"/>
    <mergeCell ref="C60:D60"/>
    <mergeCell ref="C42:D42"/>
    <mergeCell ref="C43:D43"/>
    <mergeCell ref="E44:I44"/>
    <mergeCell ref="C46:D46"/>
    <mergeCell ref="C47:D47"/>
    <mergeCell ref="E48:I48"/>
    <mergeCell ref="C50:D50"/>
    <mergeCell ref="C51:D51"/>
    <mergeCell ref="C76:D76"/>
    <mergeCell ref="C59:D59"/>
    <mergeCell ref="C71:D71"/>
    <mergeCell ref="C70:D70"/>
    <mergeCell ref="B72:J72"/>
    <mergeCell ref="B4:J4"/>
    <mergeCell ref="C28:D28"/>
    <mergeCell ref="C32:D32"/>
    <mergeCell ref="C33:D33"/>
    <mergeCell ref="E35:I35"/>
    <mergeCell ref="C37:D37"/>
    <mergeCell ref="C38:D38"/>
    <mergeCell ref="C39:D39"/>
    <mergeCell ref="E40:I40"/>
    <mergeCell ref="E30:I30"/>
    <mergeCell ref="C34:D34"/>
    <mergeCell ref="E17:I17"/>
    <mergeCell ref="C19:D19"/>
    <mergeCell ref="C20:D20"/>
    <mergeCell ref="B16:J16"/>
    <mergeCell ref="C23:D23"/>
    <mergeCell ref="C24:D24"/>
    <mergeCell ref="E25:I25"/>
    <mergeCell ref="C27:D27"/>
    <mergeCell ref="C29:D29"/>
    <mergeCell ref="C10:D10"/>
  </mergeCells>
  <pageMargins left="0.7" right="0.7" top="0.75" bottom="0.75" header="0.3" footer="0.3"/>
  <pageSetup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DF0D-AE3D-463B-A728-604D62637770}">
  <dimension ref="B1:L56"/>
  <sheetViews>
    <sheetView tabSelected="1" view="pageBreakPreview" topLeftCell="A34" zoomScaleNormal="100" zoomScaleSheetLayoutView="100" workbookViewId="0">
      <selection activeCell="H51" sqref="H51"/>
    </sheetView>
  </sheetViews>
  <sheetFormatPr baseColWidth="10" defaultRowHeight="14.4"/>
  <cols>
    <col min="1" max="1" width="4.77734375" customWidth="1"/>
    <col min="2" max="3" width="11.5546875" customWidth="1"/>
    <col min="4" max="4" width="65.109375" customWidth="1"/>
    <col min="5" max="5" width="8.44140625" customWidth="1"/>
    <col min="6" max="6" width="11" customWidth="1"/>
    <col min="7" max="7" width="17" customWidth="1"/>
    <col min="8" max="8" width="18.44140625" customWidth="1"/>
    <col min="9" max="9" width="12.77734375" customWidth="1"/>
    <col min="10" max="10" width="13" style="240" bestFit="1" customWidth="1"/>
    <col min="11" max="11" width="14.21875" customWidth="1"/>
    <col min="12" max="12" width="13.44140625" bestFit="1" customWidth="1"/>
  </cols>
  <sheetData>
    <row r="1" spans="2:11" ht="66.75" customHeight="1">
      <c r="B1" s="433"/>
      <c r="C1" s="434"/>
      <c r="D1" s="435"/>
      <c r="E1" s="425" t="s">
        <v>0</v>
      </c>
      <c r="F1" s="426"/>
      <c r="G1" s="426"/>
      <c r="H1" s="426"/>
    </row>
    <row r="2" spans="2:11">
      <c r="B2" s="427" t="s">
        <v>1</v>
      </c>
      <c r="C2" s="427"/>
      <c r="D2" s="427"/>
      <c r="E2" s="427"/>
      <c r="F2" s="427"/>
      <c r="G2" s="427"/>
      <c r="H2" s="427"/>
      <c r="I2" s="1"/>
    </row>
    <row r="3" spans="2:11" ht="42.75" customHeight="1">
      <c r="B3" s="294"/>
      <c r="C3" s="294" t="s">
        <v>2</v>
      </c>
      <c r="D3" s="428" t="s">
        <v>533</v>
      </c>
      <c r="E3" s="429"/>
      <c r="F3" s="430"/>
      <c r="G3" s="431" t="s">
        <v>691</v>
      </c>
      <c r="H3" s="432"/>
      <c r="I3" s="1"/>
    </row>
    <row r="4" spans="2:11">
      <c r="B4" s="295" t="s">
        <v>381</v>
      </c>
      <c r="C4" s="295" t="s">
        <v>3</v>
      </c>
      <c r="D4" s="295" t="s">
        <v>4</v>
      </c>
      <c r="E4" s="295" t="s">
        <v>5</v>
      </c>
      <c r="F4" s="296" t="s">
        <v>6</v>
      </c>
      <c r="G4" s="295" t="s">
        <v>7</v>
      </c>
      <c r="H4" s="297" t="s">
        <v>8</v>
      </c>
      <c r="I4" s="1"/>
    </row>
    <row r="5" spans="2:11">
      <c r="B5" s="295"/>
      <c r="C5" s="295"/>
      <c r="D5" s="295" t="s">
        <v>531</v>
      </c>
      <c r="E5" s="295"/>
      <c r="F5" s="296"/>
      <c r="G5" s="295"/>
      <c r="H5" s="423">
        <f>+H6+H9+H18+H22+H26</f>
        <v>34501787.200000003</v>
      </c>
      <c r="I5" s="1"/>
    </row>
    <row r="6" spans="2:11">
      <c r="B6" s="298"/>
      <c r="C6" s="298">
        <v>1</v>
      </c>
      <c r="D6" s="299" t="s">
        <v>383</v>
      </c>
      <c r="E6" s="300"/>
      <c r="F6" s="301"/>
      <c r="G6" s="302"/>
      <c r="H6" s="338">
        <f>+SUM(H7:H8)</f>
        <v>3664848</v>
      </c>
      <c r="I6" s="2"/>
      <c r="K6">
        <f>+H6*1.3</f>
        <v>4764302.4000000004</v>
      </c>
    </row>
    <row r="7" spans="2:11">
      <c r="B7" s="303" t="s">
        <v>415</v>
      </c>
      <c r="C7" s="303">
        <f>C6+0.01</f>
        <v>1.01</v>
      </c>
      <c r="D7" s="304" t="str">
        <f>+_xlfn.XLOOKUP($B7,LIST3[ID],LIST3[DESCRIPCIÓN])</f>
        <v>DESMONTE DE APARATOS SANITARIOS</v>
      </c>
      <c r="E7" s="305" t="str">
        <f>+_xlfn.XLOOKUP($B7,LIST3[ID],LIST3[UNIDAD])</f>
        <v>UND</v>
      </c>
      <c r="F7" s="306">
        <f>+_xlfn.XLOOKUP(TEXT(PTO!D7,0),'MEMORIA DE CANTIDADES'!$D$5:$D$146,'MEMORIA DE CANTIDADES'!$J$5:$J$146)</f>
        <v>7</v>
      </c>
      <c r="G7" s="329">
        <f>+_xlfn.XLOOKUP($B7,LIST3[ID],LIST3[V/UNIT])</f>
        <v>93559</v>
      </c>
      <c r="H7" s="307">
        <f>ROUND(F7*G7,2)</f>
        <v>654913</v>
      </c>
      <c r="I7" s="3"/>
      <c r="J7" s="240">
        <f>+G7*1.3</f>
        <v>121626.7</v>
      </c>
    </row>
    <row r="8" spans="2:11">
      <c r="B8" s="303" t="s">
        <v>599</v>
      </c>
      <c r="C8" s="303">
        <f>C7+0.01</f>
        <v>1.02</v>
      </c>
      <c r="D8" s="304" t="str">
        <f>+_xlfn.XLOOKUP($B8,LIST3[ID],LIST3[DESCRIPCIÓN])</f>
        <v>DESMONTE DE CUBIERTA EXISTENTE</v>
      </c>
      <c r="E8" s="305" t="str">
        <f>+_xlfn.XLOOKUP($B8,LIST3[ID],LIST3[UNIDAD])</f>
        <v>M2</v>
      </c>
      <c r="F8" s="306">
        <f>+_xlfn.XLOOKUP(TEXT(PTO!D8,0),'MEMORIA DE CANTIDADES'!$D$5:$D$146,'MEMORIA DE CANTIDADES'!$J$5:$J$146)</f>
        <v>144.5</v>
      </c>
      <c r="G8" s="329">
        <f>+_xlfn.XLOOKUP($B8,LIST3[ID],LIST3[V/UNIT])</f>
        <v>20830</v>
      </c>
      <c r="H8" s="307">
        <f>ROUND(F8*G8,2)</f>
        <v>3009935</v>
      </c>
      <c r="I8" s="3"/>
      <c r="J8" s="240">
        <f>+G8*1.3</f>
        <v>27079</v>
      </c>
    </row>
    <row r="9" spans="2:11">
      <c r="B9" s="308"/>
      <c r="C9" s="308">
        <v>2</v>
      </c>
      <c r="D9" s="309" t="s">
        <v>424</v>
      </c>
      <c r="E9" s="310"/>
      <c r="F9" s="310"/>
      <c r="G9" s="310"/>
      <c r="H9" s="417">
        <f>+SUM(H10:H17)</f>
        <v>8396662</v>
      </c>
      <c r="I9" s="3"/>
      <c r="K9">
        <f>+H9*1.3</f>
        <v>10915660.6</v>
      </c>
    </row>
    <row r="10" spans="2:11">
      <c r="B10" s="4" t="s">
        <v>416</v>
      </c>
      <c r="C10" s="311">
        <f>+C9+0.01</f>
        <v>2.0099999999999998</v>
      </c>
      <c r="D10" s="304" t="str">
        <f>+_xlfn.XLOOKUP($B10,LIST3[ID],LIST3[DESCRIPCIÓN])</f>
        <v>SUMINISTRO E INSTALACION DE SANITARIO (INCLUYE GRIFERIA)</v>
      </c>
      <c r="E10" s="305" t="str">
        <f>+_xlfn.XLOOKUP($B10,LIST3[ID],LIST3[UNIDAD])</f>
        <v>UND</v>
      </c>
      <c r="F10" s="306">
        <f>+_xlfn.XLOOKUP(TEXT(PTO!D10,0),'MEMORIA DE CANTIDADES'!$D$5:$D$146,'MEMORIA DE CANTIDADES'!$J$5:$J$146)</f>
        <v>7</v>
      </c>
      <c r="G10" s="329">
        <f>+_xlfn.XLOOKUP($B10,LIST3[ID],LIST3[V/UNIT])</f>
        <v>537446</v>
      </c>
      <c r="H10" s="313">
        <f t="shared" ref="H10:H17" si="0">ROUND(F10*G10,2)</f>
        <v>3762122</v>
      </c>
      <c r="I10" s="3"/>
      <c r="J10" s="240">
        <f t="shared" ref="J10:J17" si="1">+G10*1.3</f>
        <v>698679.8</v>
      </c>
    </row>
    <row r="11" spans="2:11">
      <c r="B11" s="4" t="s">
        <v>417</v>
      </c>
      <c r="C11" s="311">
        <f t="shared" ref="C11:C17" si="2">+C10+0.01</f>
        <v>2.0199999999999996</v>
      </c>
      <c r="D11" s="304" t="str">
        <f>+_xlfn.XLOOKUP($B11,LIST3[ID],LIST3[DESCRIPCIÓN])</f>
        <v>SUMINISTRO E INSTALACION DE SANITARIO INFANTIL (INCLUYE GRIFERIA)</v>
      </c>
      <c r="E11" s="305" t="str">
        <f>+_xlfn.XLOOKUP($B11,LIST3[ID],LIST3[UNIDAD])</f>
        <v>UND</v>
      </c>
      <c r="F11" s="306">
        <f>+_xlfn.XLOOKUP(TEXT(PTO!D11,0),'MEMORIA DE CANTIDADES'!$D$5:$D$146,'MEMORIA DE CANTIDADES'!$J$5:$J$146)</f>
        <v>1</v>
      </c>
      <c r="G11" s="329">
        <f>+_xlfn.XLOOKUP($B11,LIST3[ID],LIST3[V/UNIT])</f>
        <v>929939</v>
      </c>
      <c r="H11" s="313">
        <f t="shared" si="0"/>
        <v>929939</v>
      </c>
      <c r="I11" s="3"/>
      <c r="J11" s="240">
        <f t="shared" si="1"/>
        <v>1208920.7</v>
      </c>
    </row>
    <row r="12" spans="2:11">
      <c r="B12" s="4" t="s">
        <v>419</v>
      </c>
      <c r="C12" s="311">
        <f t="shared" si="2"/>
        <v>2.0299999999999994</v>
      </c>
      <c r="D12" s="304" t="str">
        <f>+_xlfn.XLOOKUP($B12,LIST3[ID],LIST3[DESCRIPCIÓN])</f>
        <v>SUMINISTRO E INSTALACIÓN DE LLAVE LAVAMANOS TIPO PUSH</v>
      </c>
      <c r="E12" s="305" t="str">
        <f>+_xlfn.XLOOKUP($B12,LIST3[ID],LIST3[UNIDAD])</f>
        <v>UND</v>
      </c>
      <c r="F12" s="306">
        <f>+_xlfn.XLOOKUP(TEXT(PTO!D12,0),'MEMORIA DE CANTIDADES'!$D$5:$D$146,'MEMORIA DE CANTIDADES'!$J$5:$J$146)</f>
        <v>7</v>
      </c>
      <c r="G12" s="329">
        <f>+_xlfn.XLOOKUP($B12,LIST3[ID],LIST3[V/UNIT])</f>
        <v>185875</v>
      </c>
      <c r="H12" s="313">
        <f t="shared" si="0"/>
        <v>1301125</v>
      </c>
      <c r="I12" s="3"/>
      <c r="J12" s="240">
        <f t="shared" si="1"/>
        <v>241637.5</v>
      </c>
    </row>
    <row r="13" spans="2:11">
      <c r="B13" s="4" t="s">
        <v>420</v>
      </c>
      <c r="C13" s="311">
        <f t="shared" si="2"/>
        <v>2.0399999999999991</v>
      </c>
      <c r="D13" s="304" t="str">
        <f>+_xlfn.XLOOKUP($B13,LIST3[ID],LIST3[DESCRIPCIÓN])</f>
        <v>SUMINISTRO E INSTALACIÓN DE DESAGUE PARA LAVAMOS</v>
      </c>
      <c r="E13" s="305" t="str">
        <f>+_xlfn.XLOOKUP($B13,LIST3[ID],LIST3[UNIDAD])</f>
        <v>UND</v>
      </c>
      <c r="F13" s="306">
        <f>+_xlfn.XLOOKUP(TEXT(PTO!D13,0),'MEMORIA DE CANTIDADES'!$D$5:$D$146,'MEMORIA DE CANTIDADES'!$J$5:$J$146)</f>
        <v>11</v>
      </c>
      <c r="G13" s="329">
        <f>+_xlfn.XLOOKUP($B13,LIST3[ID],LIST3[V/UNIT])</f>
        <v>81744</v>
      </c>
      <c r="H13" s="313">
        <f t="shared" si="0"/>
        <v>899184</v>
      </c>
      <c r="I13" s="3"/>
      <c r="J13" s="240">
        <f t="shared" si="1"/>
        <v>106267.2</v>
      </c>
    </row>
    <row r="14" spans="2:11">
      <c r="B14" s="4" t="s">
        <v>421</v>
      </c>
      <c r="C14" s="311">
        <f t="shared" si="2"/>
        <v>2.0499999999999989</v>
      </c>
      <c r="D14" s="304" t="str">
        <f>+_xlfn.XLOOKUP($B14,LIST3[ID],LIST3[DESCRIPCIÓN])</f>
        <v>MANTENIMIENTO RED SANITARIA (PUNTO OBSTRUIDO)</v>
      </c>
      <c r="E14" s="305" t="str">
        <f>+_xlfn.XLOOKUP($B14,LIST3[ID],LIST3[UNIDAD])</f>
        <v>UND</v>
      </c>
      <c r="F14" s="306">
        <f>+_xlfn.XLOOKUP(TEXT(PTO!D14,0),'MEMORIA DE CANTIDADES'!$D$5:$D$146,'MEMORIA DE CANTIDADES'!$J$5:$J$146)</f>
        <v>2</v>
      </c>
      <c r="G14" s="329">
        <f>+_xlfn.XLOOKUP($B14,LIST3[ID],LIST3[V/UNIT])</f>
        <v>152931</v>
      </c>
      <c r="H14" s="313">
        <f t="shared" si="0"/>
        <v>305862</v>
      </c>
      <c r="I14" s="3"/>
      <c r="J14" s="240">
        <f t="shared" si="1"/>
        <v>198810.30000000002</v>
      </c>
    </row>
    <row r="15" spans="2:11" ht="28.8">
      <c r="B15" s="4" t="s">
        <v>423</v>
      </c>
      <c r="C15" s="311">
        <f t="shared" si="2"/>
        <v>2.0599999999999987</v>
      </c>
      <c r="D15" s="304" t="str">
        <f>+_xlfn.XLOOKUP($B15,LIST3[ID],LIST3[DESCRIPCIÓN])</f>
        <v>TAPA EN CONCRETO PARA CAJA DE INSPECCIÓN 1X1 M CON TERMINAL EN ANGULO 1/2"</v>
      </c>
      <c r="E15" s="305" t="str">
        <f>+_xlfn.XLOOKUP($B15,LIST3[ID],LIST3[UNIDAD])</f>
        <v>UND</v>
      </c>
      <c r="F15" s="306">
        <f>+_xlfn.XLOOKUP(TEXT(PTO!D15,0),'MEMORIA DE CANTIDADES'!$D$5:$D$146,'MEMORIA DE CANTIDADES'!$J$5:$J$146)</f>
        <v>1</v>
      </c>
      <c r="G15" s="329">
        <f>+_xlfn.XLOOKUP($B15,LIST3[ID],LIST3[V/UNIT])</f>
        <v>350686</v>
      </c>
      <c r="H15" s="313">
        <f t="shared" si="0"/>
        <v>350686</v>
      </c>
      <c r="I15" s="3"/>
      <c r="J15" s="240">
        <f t="shared" si="1"/>
        <v>455891.8</v>
      </c>
    </row>
    <row r="16" spans="2:11">
      <c r="B16" s="4" t="s">
        <v>425</v>
      </c>
      <c r="C16" s="311">
        <f t="shared" si="2"/>
        <v>2.0699999999999985</v>
      </c>
      <c r="D16" s="304" t="str">
        <f>+_xlfn.XLOOKUP($B16,LIST3[ID],LIST3[DESCRIPCIÓN])</f>
        <v>SUMINISTRO E INSTALACIÓN DE LLAVE ORINAL TIPO PUSH</v>
      </c>
      <c r="E16" s="305" t="str">
        <f>+_xlfn.XLOOKUP($B16,LIST3[ID],LIST3[UNIDAD])</f>
        <v>UND</v>
      </c>
      <c r="F16" s="306">
        <f>+_xlfn.XLOOKUP(TEXT(PTO!D16,0),'MEMORIA DE CANTIDADES'!$D$5:$D$146,'MEMORIA DE CANTIDADES'!$J$5:$J$146)</f>
        <v>4</v>
      </c>
      <c r="G16" s="329">
        <f>+_xlfn.XLOOKUP($B16,LIST3[ID],LIST3[V/UNIT])</f>
        <v>185875</v>
      </c>
      <c r="H16" s="313">
        <f t="shared" si="0"/>
        <v>743500</v>
      </c>
      <c r="I16" s="3"/>
      <c r="J16" s="240">
        <f t="shared" si="1"/>
        <v>241637.5</v>
      </c>
    </row>
    <row r="17" spans="2:12">
      <c r="B17" s="4" t="s">
        <v>440</v>
      </c>
      <c r="C17" s="311">
        <f t="shared" si="2"/>
        <v>2.0799999999999983</v>
      </c>
      <c r="D17" s="304" t="str">
        <f>+_xlfn.XLOOKUP($B17,LIST3[ID],LIST3[DESCRIPCIÓN])</f>
        <v>SUMINISTRO E INSTALACIÓN DE GRIFERIA PARA SANITARIO</v>
      </c>
      <c r="E17" s="305" t="str">
        <f>+_xlfn.XLOOKUP($B17,LIST3[ID],LIST3[UNIDAD])</f>
        <v>UND</v>
      </c>
      <c r="F17" s="306">
        <f>+_xlfn.XLOOKUP(TEXT(PTO!D17,0),'MEMORIA DE CANTIDADES'!$D$5:$D$146,'MEMORIA DE CANTIDADES'!$J$5:$J$146)</f>
        <v>1</v>
      </c>
      <c r="G17" s="329">
        <f>+_xlfn.XLOOKUP($B17,LIST3[ID],LIST3[V/UNIT])</f>
        <v>104244</v>
      </c>
      <c r="H17" s="313">
        <f t="shared" si="0"/>
        <v>104244</v>
      </c>
      <c r="I17" s="3"/>
      <c r="J17" s="240">
        <f t="shared" si="1"/>
        <v>135517.20000000001</v>
      </c>
    </row>
    <row r="18" spans="2:12">
      <c r="B18" s="314"/>
      <c r="C18" s="314">
        <v>3</v>
      </c>
      <c r="D18" s="315" t="str">
        <f>+LIST!B64</f>
        <v>CUBIERTAS, IMPERMEABILIZANTE Y ELEMENTOS DE SOPORTE (CIE)</v>
      </c>
      <c r="E18" s="316"/>
      <c r="F18" s="317"/>
      <c r="G18" s="318"/>
      <c r="H18" s="379">
        <f>+SUM(H19:H21)</f>
        <v>10866845</v>
      </c>
      <c r="I18" s="3"/>
      <c r="K18">
        <f>+H18*1.3</f>
        <v>14126898.5</v>
      </c>
    </row>
    <row r="19" spans="2:12">
      <c r="B19" s="303" t="s">
        <v>436</v>
      </c>
      <c r="C19" s="303">
        <f>C18+0.01</f>
        <v>3.01</v>
      </c>
      <c r="D19" s="304" t="str">
        <f>+_xlfn.XLOOKUP($B19,LIST3[ID],LIST3[DESCRIPCIÓN])</f>
        <v>TEJA EN LAMINA GALVANIZADA CAL.28</v>
      </c>
      <c r="E19" s="305" t="str">
        <f>+_xlfn.XLOOKUP($B19,LIST3[ID],LIST3[UNIDAD])</f>
        <v>M2</v>
      </c>
      <c r="F19" s="306">
        <f>+_xlfn.XLOOKUP(TEXT(PTO!D19,0),'MEMORIA DE CANTIDADES'!$D$5:$D$146,'MEMORIA DE CANTIDADES'!$J$5:$J$146)</f>
        <v>144.5</v>
      </c>
      <c r="G19" s="329">
        <f>+_xlfn.XLOOKUP($B19,LIST3[ID],LIST3[V/UNIT])</f>
        <v>65187</v>
      </c>
      <c r="H19" s="307">
        <f t="shared" ref="H19:H25" si="3">ROUND(F19*G19,2)</f>
        <v>9419521.5</v>
      </c>
      <c r="I19" s="3"/>
      <c r="J19" s="240">
        <f>+G19*1.3</f>
        <v>84743.1</v>
      </c>
      <c r="K19" s="424"/>
    </row>
    <row r="20" spans="2:12">
      <c r="B20" s="303" t="s">
        <v>437</v>
      </c>
      <c r="C20" s="303">
        <f t="shared" ref="C20:C21" si="4">C19+0.01</f>
        <v>3.0199999999999996</v>
      </c>
      <c r="D20" s="304" t="str">
        <f>+_xlfn.XLOOKUP($B20,LIST3[ID],LIST3[DESCRIPCIÓN])</f>
        <v>TUBERÍA PVC 4" SANITARIO BAJANTE AGUAS LLUVIAS</v>
      </c>
      <c r="E20" s="305" t="str">
        <f>+_xlfn.XLOOKUP($B20,LIST3[ID],LIST3[UNIDAD])</f>
        <v>M</v>
      </c>
      <c r="F20" s="306">
        <f>+_xlfn.XLOOKUP(TEXT(PTO!D20,0),'MEMORIA DE CANTIDADES'!$D$5:$D$146,'MEMORIA DE CANTIDADES'!$J$5:$J$146)</f>
        <v>12</v>
      </c>
      <c r="G20" s="329">
        <f>+_xlfn.XLOOKUP($B20,LIST3[ID],LIST3[V/UNIT])</f>
        <v>47287</v>
      </c>
      <c r="H20" s="307">
        <f t="shared" ref="H20" si="5">ROUND(F20*G20,2)</f>
        <v>567444</v>
      </c>
      <c r="I20" s="3"/>
      <c r="J20" s="240">
        <f t="shared" ref="J20:J21" si="6">+G20*1.3</f>
        <v>61473.1</v>
      </c>
      <c r="K20" s="424"/>
    </row>
    <row r="21" spans="2:12">
      <c r="B21" s="303" t="s">
        <v>507</v>
      </c>
      <c r="C21" s="303">
        <f t="shared" si="4"/>
        <v>3.0299999999999994</v>
      </c>
      <c r="D21" s="304" t="str">
        <f>+_xlfn.XLOOKUP($B21,LIST3[ID],LIST3[DESCRIPCIÓN])</f>
        <v>FLANCHE METALICO CUBIERTA CAL.26</v>
      </c>
      <c r="E21" s="305" t="str">
        <f>+_xlfn.XLOOKUP($B21,LIST3[ID],LIST3[UNIDAD])</f>
        <v>M</v>
      </c>
      <c r="F21" s="306">
        <f>+_xlfn.XLOOKUP(TEXT(PTO!D21,0),'MEMORIA DE CANTIDADES'!$D$5:$D$146,'MEMORIA DE CANTIDADES'!$J$5:$J$146)</f>
        <v>26.5</v>
      </c>
      <c r="G21" s="329">
        <f>+_xlfn.XLOOKUP($B21,LIST3[ID],LIST3[V/UNIT])</f>
        <v>33203</v>
      </c>
      <c r="H21" s="307">
        <f t="shared" ref="H21" si="7">ROUND(F21*G21,2)</f>
        <v>879879.5</v>
      </c>
      <c r="I21" s="3"/>
      <c r="J21" s="240">
        <f t="shared" si="6"/>
        <v>43163.9</v>
      </c>
      <c r="K21" s="424"/>
    </row>
    <row r="22" spans="2:12">
      <c r="B22" s="314"/>
      <c r="C22" s="314">
        <v>4</v>
      </c>
      <c r="D22" s="315" t="str">
        <f>+LIST!B42</f>
        <v>ELECTRICIDAD Y ACCESORIOS ELECTRICOS (ELC)</v>
      </c>
      <c r="E22" s="316"/>
      <c r="F22" s="310"/>
      <c r="G22" s="310"/>
      <c r="H22" s="378">
        <f>+SUM(H23:H25)</f>
        <v>6165557</v>
      </c>
      <c r="I22" s="3"/>
      <c r="K22">
        <f>+H22*1.3</f>
        <v>8015224.1000000006</v>
      </c>
    </row>
    <row r="23" spans="2:12">
      <c r="B23" s="303" t="s">
        <v>435</v>
      </c>
      <c r="C23" s="303">
        <f>C22+0.01</f>
        <v>4.01</v>
      </c>
      <c r="D23" s="304" t="str">
        <f>+_xlfn.XLOOKUP($B23,LIST3[ID],LIST3[DESCRIPCIÓN])</f>
        <v>RED ELECTRICA EN CABLE N°12 Y TUBO EMT 1/2" PVC</v>
      </c>
      <c r="E23" s="305" t="str">
        <f>+_xlfn.XLOOKUP($B23,LIST3[ID],LIST3[UNIDAD])</f>
        <v>M</v>
      </c>
      <c r="F23" s="306">
        <f>+_xlfn.XLOOKUP(TEXT(PTO!D23,0),'MEMORIA DE CANTIDADES'!$D$5:$D$146,'MEMORIA DE CANTIDADES'!$J$5:$J$146)</f>
        <v>81</v>
      </c>
      <c r="G23" s="329">
        <f>+_xlfn.XLOOKUP($B23,LIST3[ID],LIST3[V/UNIT])</f>
        <v>33165</v>
      </c>
      <c r="H23" s="307">
        <f t="shared" si="3"/>
        <v>2686365</v>
      </c>
      <c r="I23" s="3"/>
      <c r="J23" s="240">
        <f>+G23*1.3</f>
        <v>43114.5</v>
      </c>
    </row>
    <row r="24" spans="2:12">
      <c r="B24" s="303" t="s">
        <v>493</v>
      </c>
      <c r="C24" s="303">
        <f t="shared" ref="C24:C27" si="8">C23+0.01</f>
        <v>4.0199999999999996</v>
      </c>
      <c r="D24" s="304" t="str">
        <f>+_xlfn.XLOOKUP($B24,LIST3[ID],LIST3[DESCRIPCIÓN])</f>
        <v>PUNTO ELECTRICO DE CONEXIÓN DOBLE</v>
      </c>
      <c r="E24" s="305" t="str">
        <f>+_xlfn.XLOOKUP($B24,LIST3[ID],LIST3[UNIDAD])</f>
        <v>UND</v>
      </c>
      <c r="F24" s="306">
        <f>+_xlfn.XLOOKUP(TEXT(PTO!D24,0),'MEMORIA DE CANTIDADES'!$D$5:$D$146,'MEMORIA DE CANTIDADES'!$J$5:$J$146)</f>
        <v>17</v>
      </c>
      <c r="G24" s="329">
        <f>+_xlfn.XLOOKUP($B24,LIST3[ID],LIST3[V/UNIT])</f>
        <v>30640</v>
      </c>
      <c r="H24" s="307">
        <f t="shared" si="3"/>
        <v>520880</v>
      </c>
      <c r="I24" s="3"/>
      <c r="J24" s="240">
        <f t="shared" ref="J24:J25" si="9">+G24*1.3</f>
        <v>39832</v>
      </c>
    </row>
    <row r="25" spans="2:12" ht="28.8">
      <c r="B25" s="303" t="s">
        <v>514</v>
      </c>
      <c r="C25" s="303">
        <f t="shared" si="8"/>
        <v>4.0299999999999994</v>
      </c>
      <c r="D25" s="312" t="str">
        <f>+_xlfn.XLOOKUP($B25,LIST3[ID],LIST3[DESCRIPCIÓN])</f>
        <v>CANALETA ELECTRICA 12CMX20CMX2M (INCLUYE PUNTOS ELECTRICOS Y JACK)</v>
      </c>
      <c r="E25" s="305" t="str">
        <f>+_xlfn.XLOOKUP($B25,LIST3[ID],LIST3[UNIDAD])</f>
        <v>M</v>
      </c>
      <c r="F25" s="306">
        <f>+_xlfn.XLOOKUP(TEXT(PTO!D25,0),'MEMORIA DE CANTIDADES'!$D$5:$D$146,'MEMORIA DE CANTIDADES'!$J$5:$J$146)</f>
        <v>28</v>
      </c>
      <c r="G25" s="329">
        <f>+_xlfn.XLOOKUP($B25,LIST3[ID],LIST3[V/UNIT])</f>
        <v>105654</v>
      </c>
      <c r="H25" s="307">
        <f t="shared" si="3"/>
        <v>2958312</v>
      </c>
      <c r="I25" s="3"/>
      <c r="J25" s="240">
        <f t="shared" si="9"/>
        <v>137350.20000000001</v>
      </c>
    </row>
    <row r="26" spans="2:12">
      <c r="B26" s="314"/>
      <c r="C26" s="314">
        <v>5</v>
      </c>
      <c r="D26" s="315" t="str">
        <f>+LIST!B18</f>
        <v>PISOS CERAMICOS, TERMINADOS Y ACABADOS (PTA)</v>
      </c>
      <c r="E26" s="316"/>
      <c r="F26" s="310"/>
      <c r="G26" s="310"/>
      <c r="H26" s="378">
        <f>+H27</f>
        <v>5407875.2000000002</v>
      </c>
      <c r="I26" s="3"/>
      <c r="K26">
        <f>+H26*1.3</f>
        <v>7030237.7600000007</v>
      </c>
    </row>
    <row r="27" spans="2:12">
      <c r="B27" s="4" t="s">
        <v>519</v>
      </c>
      <c r="C27" s="303">
        <f t="shared" si="8"/>
        <v>5.01</v>
      </c>
      <c r="D27" s="304" t="str">
        <f>+_xlfn.XLOOKUP($B27,LIST3[ID],LIST3[DESCRIPCIÓN])</f>
        <v>CIELO RASO PVC 9 MM INCLUYE ESTRUCTURA</v>
      </c>
      <c r="E27" s="305" t="str">
        <f>+_xlfn.XLOOKUP($B27,LIST3[ID],LIST3[UNIDAD])</f>
        <v>M2</v>
      </c>
      <c r="F27" s="306">
        <f>+_xlfn.XLOOKUP(TEXT(PTO!D27,0),'MEMORIA DE CANTIDADES'!$D$5:$D$146,'MEMORIA DE CANTIDADES'!$J$5:$J$146)</f>
        <v>75.8</v>
      </c>
      <c r="G27" s="329">
        <f>+_xlfn.XLOOKUP($B27,LIST3[ID],LIST3[V/UNIT])</f>
        <v>71344</v>
      </c>
      <c r="H27" s="307">
        <f t="shared" ref="H27" si="10">ROUND(F27*G27,2)</f>
        <v>5407875.2000000002</v>
      </c>
      <c r="I27" s="3"/>
      <c r="J27" s="240">
        <f>+G27*1.3</f>
        <v>92747.199999999997</v>
      </c>
      <c r="L27" s="247"/>
    </row>
    <row r="28" spans="2:12">
      <c r="B28" s="295"/>
      <c r="C28" s="295"/>
      <c r="D28" s="295" t="s">
        <v>532</v>
      </c>
      <c r="E28" s="295"/>
      <c r="F28" s="296"/>
      <c r="G28" s="295"/>
      <c r="H28" s="422">
        <f>+H29+H32+H36</f>
        <v>3204988.2</v>
      </c>
      <c r="I28" s="1"/>
    </row>
    <row r="29" spans="2:12">
      <c r="B29" s="298"/>
      <c r="C29" s="298">
        <v>1</v>
      </c>
      <c r="D29" s="299" t="s">
        <v>383</v>
      </c>
      <c r="E29" s="300"/>
      <c r="F29" s="301"/>
      <c r="G29" s="302"/>
      <c r="H29" s="338">
        <f>+SUM(H30:H31)</f>
        <v>348566.2</v>
      </c>
      <c r="I29" s="2"/>
      <c r="K29">
        <f>+H29*1.3</f>
        <v>453136.06000000006</v>
      </c>
    </row>
    <row r="30" spans="2:12">
      <c r="B30" s="303" t="s">
        <v>392</v>
      </c>
      <c r="C30" s="303">
        <f>C29+0.01</f>
        <v>1.01</v>
      </c>
      <c r="D30" s="304" t="str">
        <f>+_xlfn.XLOOKUP($B30,LIST3[ID],LIST3[DESCRIPCIÓN])</f>
        <v>EXCAVACIÓN MANUAL EN MATERIAL COMÚN 0-2 MTS</v>
      </c>
      <c r="E30" s="305" t="str">
        <f>+_xlfn.XLOOKUP($B30,LIST3[ID],LIST3[UNIDAD])</f>
        <v>M3</v>
      </c>
      <c r="F30" s="306">
        <f>+_xlfn.XLOOKUP(TEXT(PTO!D30,0),'MEMORIA DE CANTIDADES'!$D$5:$D$146,'MEMORIA DE CANTIDADES'!$J$5:$J$146)</f>
        <v>0.9</v>
      </c>
      <c r="G30" s="329">
        <f>+_xlfn.XLOOKUP($B30,LIST3[ID],LIST3[V/UNIT])</f>
        <v>41022</v>
      </c>
      <c r="H30" s="307">
        <f>ROUND(F30*G30,2)</f>
        <v>36919.800000000003</v>
      </c>
      <c r="I30" s="3"/>
      <c r="J30" s="240">
        <f>+G30*1.3</f>
        <v>53328.6</v>
      </c>
    </row>
    <row r="31" spans="2:12" ht="28.8">
      <c r="B31" s="303" t="s">
        <v>389</v>
      </c>
      <c r="C31" s="303">
        <f>C30+0.01</f>
        <v>1.02</v>
      </c>
      <c r="D31" s="304" t="str">
        <f>+_xlfn.XLOOKUP($B31,LIST3[ID],LIST3[DESCRIPCIÓN])</f>
        <v>DEMOLICIÓN MURO LADRILLO HASTA 15 CM ANCHO, INCLUYE RETIRO DE ESCOMBROS A 5 KM</v>
      </c>
      <c r="E31" s="305" t="str">
        <f>+_xlfn.XLOOKUP($B31,LIST3[ID],LIST3[UNIDAD])</f>
        <v>M2</v>
      </c>
      <c r="F31" s="306">
        <f>+_xlfn.XLOOKUP(TEXT(PTO!D31,0),'MEMORIA DE CANTIDADES'!$D$5:$D$146,'MEMORIA DE CANTIDADES'!$J$5:$J$146)</f>
        <v>10.4</v>
      </c>
      <c r="G31" s="329">
        <f>+_xlfn.XLOOKUP($B31,LIST3[ID],LIST3[V/UNIT])</f>
        <v>29966</v>
      </c>
      <c r="H31" s="307">
        <f>ROUND(F31*G31,2)</f>
        <v>311646.40000000002</v>
      </c>
      <c r="I31" s="3"/>
      <c r="J31" s="240">
        <f>+G31*1.3</f>
        <v>38955.800000000003</v>
      </c>
    </row>
    <row r="32" spans="2:12">
      <c r="B32" s="298"/>
      <c r="C32" s="298">
        <v>2</v>
      </c>
      <c r="D32" s="299" t="s">
        <v>674</v>
      </c>
      <c r="E32" s="300"/>
      <c r="F32" s="301"/>
      <c r="G32" s="302"/>
      <c r="H32" s="338">
        <f>+SUM(H33:H35)</f>
        <v>1502019.8</v>
      </c>
      <c r="I32" s="2"/>
      <c r="K32">
        <f>+H32*1.3</f>
        <v>1952625.7400000002</v>
      </c>
    </row>
    <row r="33" spans="2:12">
      <c r="B33" s="303" t="s">
        <v>659</v>
      </c>
      <c r="C33" s="303">
        <f>C32+0.01</f>
        <v>2.0099999999999998</v>
      </c>
      <c r="D33" s="304" t="str">
        <f>+_xlfn.XLOOKUP($B33,LIST3[ID],LIST3[DESCRIPCIÓN])</f>
        <v>SUMINISTRO E INSTALACIÓN DE LADRILLO TOLETE 25X12X6CM</v>
      </c>
      <c r="E33" s="305" t="str">
        <f>+_xlfn.XLOOKUP($B33,LIST3[ID],LIST3[UNIDAD])</f>
        <v>M2</v>
      </c>
      <c r="F33" s="306">
        <f>+_xlfn.XLOOKUP(TEXT(PTO!D33,0),'MEMORIA DE CANTIDADES'!$D$5:$D$146,'MEMORIA DE CANTIDADES'!$J$5:$J$146)</f>
        <v>10.4</v>
      </c>
      <c r="G33" s="329">
        <f>+_xlfn.XLOOKUP($B33,LIST3[ID],LIST3[V/UNIT])</f>
        <v>86053</v>
      </c>
      <c r="H33" s="307">
        <f>ROUND(F33*G33,2)</f>
        <v>894951.2</v>
      </c>
      <c r="I33" s="3"/>
      <c r="J33" s="240">
        <f t="shared" ref="J33:J41" si="11">+G33*1.3</f>
        <v>111868.90000000001</v>
      </c>
    </row>
    <row r="34" spans="2:12">
      <c r="B34" s="303" t="s">
        <v>661</v>
      </c>
      <c r="C34" s="303">
        <f>C33+0.01</f>
        <v>2.0199999999999996</v>
      </c>
      <c r="D34" s="304" t="str">
        <f>+_xlfn.XLOOKUP($B34,LIST3[ID],LIST3[DESCRIPCIÓN])</f>
        <v>PAÑETE MURO 1:4   E=0.02M</v>
      </c>
      <c r="E34" s="305" t="str">
        <f>+_xlfn.XLOOKUP($B34,LIST3[ID],LIST3[UNIDAD])</f>
        <v>M2</v>
      </c>
      <c r="F34" s="306">
        <f>+_xlfn.XLOOKUP(TEXT(PTO!D34,0),'MEMORIA DE CANTIDADES'!$D$5:$D$146,'MEMORIA DE CANTIDADES'!$J$5:$J$146)</f>
        <v>13.4</v>
      </c>
      <c r="G34" s="329">
        <f>+_xlfn.XLOOKUP($B34,LIST3[ID],LIST3[V/UNIT])</f>
        <v>32597</v>
      </c>
      <c r="H34" s="307">
        <f>ROUND(F34*G34,2)</f>
        <v>436799.8</v>
      </c>
      <c r="I34" s="3"/>
      <c r="J34" s="240">
        <f t="shared" si="11"/>
        <v>42376.1</v>
      </c>
    </row>
    <row r="35" spans="2:12">
      <c r="B35" s="303" t="s">
        <v>582</v>
      </c>
      <c r="C35" s="303">
        <f>C34+0.01</f>
        <v>2.0299999999999994</v>
      </c>
      <c r="D35" s="304" t="str">
        <f>+_xlfn.XLOOKUP($B35,LIST3[ID],LIST3[DESCRIPCIÓN])</f>
        <v>PINTURA TIPO 1 INTERIOR, DOS MANOS</v>
      </c>
      <c r="E35" s="305" t="str">
        <f>+_xlfn.XLOOKUP($B35,LIST3[ID],LIST3[UNIDAD])</f>
        <v>M2</v>
      </c>
      <c r="F35" s="306">
        <f>+_xlfn.XLOOKUP(TEXT(PTO!D35,0),'MEMORIA DE CANTIDADES'!$D$5:$D$146,'MEMORIA DE CANTIDADES'!$J$5:$J$146)</f>
        <v>10.4</v>
      </c>
      <c r="G35" s="329">
        <f>+_xlfn.XLOOKUP($B35,LIST3[ID],LIST3[V/UNIT])</f>
        <v>16372</v>
      </c>
      <c r="H35" s="307">
        <f>ROUND(F35*G35,2)</f>
        <v>170268.79999999999</v>
      </c>
      <c r="I35" s="3"/>
      <c r="J35" s="240">
        <f t="shared" si="11"/>
        <v>21283.600000000002</v>
      </c>
    </row>
    <row r="36" spans="2:12">
      <c r="B36" s="298"/>
      <c r="C36" s="298">
        <v>3</v>
      </c>
      <c r="D36" s="299" t="s">
        <v>677</v>
      </c>
      <c r="E36" s="300"/>
      <c r="F36" s="301"/>
      <c r="G36" s="302"/>
      <c r="H36" s="338">
        <f>+SUM(H37:H41)</f>
        <v>1354402.2</v>
      </c>
      <c r="I36" s="2"/>
      <c r="K36">
        <f>+H36*1.3</f>
        <v>1760722.86</v>
      </c>
    </row>
    <row r="37" spans="2:12">
      <c r="B37" s="303" t="s">
        <v>666</v>
      </c>
      <c r="C37" s="303">
        <f>C36+0.01</f>
        <v>3.01</v>
      </c>
      <c r="D37" s="304" t="str">
        <f>+_xlfn.XLOOKUP($B37,LIST3[ID],LIST3[DESCRIPCIÓN])</f>
        <v>COLUMNA CONCRETO 3.000 PSI 20X12 CM</v>
      </c>
      <c r="E37" s="305" t="str">
        <f>+_xlfn.XLOOKUP($B37,LIST3[ID],LIST3[UNIDAD])</f>
        <v>M</v>
      </c>
      <c r="F37" s="306">
        <f>+_xlfn.XLOOKUP(TEXT(PTO!D37,0),'MEMORIA DE CANTIDADES'!$D$5:$D$146,'MEMORIA DE CANTIDADES'!$J$5:$J$146)</f>
        <v>5.3</v>
      </c>
      <c r="G37" s="329">
        <f>+_xlfn.XLOOKUP($B37,LIST3[ID],LIST3[V/UNIT])</f>
        <v>61440</v>
      </c>
      <c r="H37" s="307">
        <f>ROUND(F37*G37,2)</f>
        <v>325632</v>
      </c>
      <c r="I37" s="3"/>
      <c r="J37" s="240">
        <f t="shared" si="11"/>
        <v>79872</v>
      </c>
    </row>
    <row r="38" spans="2:12">
      <c r="B38" s="303" t="s">
        <v>668</v>
      </c>
      <c r="C38" s="303">
        <f>C37+0.01</f>
        <v>3.0199999999999996</v>
      </c>
      <c r="D38" s="304" t="str">
        <f>+_xlfn.XLOOKUP($B38,LIST3[ID],LIST3[DESCRIPCIÓN])</f>
        <v>ZAPATA CONCRETO 3.000 PSI 120X70X30 CM</v>
      </c>
      <c r="E38" s="305" t="str">
        <f>+_xlfn.XLOOKUP($B38,LIST3[ID],LIST3[UNIDAD])</f>
        <v>UND</v>
      </c>
      <c r="F38" s="306">
        <f>+_xlfn.XLOOKUP(TEXT(PTO!D38,0),'MEMORIA DE CANTIDADES'!$D$5:$D$146,'MEMORIA DE CANTIDADES'!$J$5:$J$146)</f>
        <v>1</v>
      </c>
      <c r="G38" s="329">
        <f>+_xlfn.XLOOKUP($B38,LIST3[ID],LIST3[V/UNIT])</f>
        <v>330681</v>
      </c>
      <c r="H38" s="307">
        <f>ROUND(F38*G38,2)</f>
        <v>330681</v>
      </c>
      <c r="I38" s="3"/>
      <c r="J38" s="240">
        <f t="shared" si="11"/>
        <v>429885.3</v>
      </c>
    </row>
    <row r="39" spans="2:12">
      <c r="B39" s="303" t="s">
        <v>670</v>
      </c>
      <c r="C39" s="303">
        <f>C38+0.01</f>
        <v>3.0299999999999994</v>
      </c>
      <c r="D39" s="304" t="str">
        <f>+_xlfn.XLOOKUP($B39,LIST3[ID],LIST3[DESCRIPCIÓN])</f>
        <v>COLUMNA CONCRETO 3.000 PSI 30X30 CM</v>
      </c>
      <c r="E39" s="305" t="str">
        <f>+_xlfn.XLOOKUP($B39,LIST3[ID],LIST3[UNIDAD])</f>
        <v>M</v>
      </c>
      <c r="F39" s="306">
        <f>+_xlfn.XLOOKUP(TEXT(PTO!D39,0),'MEMORIA DE CANTIDADES'!$D$5:$D$146,'MEMORIA DE CANTIDADES'!$J$5:$J$146)</f>
        <v>0.8</v>
      </c>
      <c r="G39" s="329">
        <f>+_xlfn.XLOOKUP($B39,LIST3[ID],LIST3[V/UNIT])</f>
        <v>152644</v>
      </c>
      <c r="H39" s="307">
        <f>ROUND(F39*G39,2)</f>
        <v>122115.2</v>
      </c>
      <c r="I39" s="3"/>
      <c r="J39" s="240">
        <f t="shared" si="11"/>
        <v>198437.2</v>
      </c>
    </row>
    <row r="40" spans="2:12" ht="28.8">
      <c r="B40" s="303" t="s">
        <v>672</v>
      </c>
      <c r="C40" s="303">
        <f>C39+0.01</f>
        <v>3.0399999999999991</v>
      </c>
      <c r="D40" s="304" t="str">
        <f>+_xlfn.XLOOKUP($B40,LIST3[ID],LIST3[DESCRIPCIÓN])</f>
        <v>ADHESIVO EPOXICO DE CONCRETO FRESCO CON CONCRETO ANTIGUO (USO ESTRUCTURAL)</v>
      </c>
      <c r="E40" s="305" t="str">
        <f>+_xlfn.XLOOKUP($B40,LIST3[ID],LIST3[UNIDAD])</f>
        <v>M2</v>
      </c>
      <c r="F40" s="306">
        <f>+_xlfn.XLOOKUP(TEXT(PTO!D40,0),'MEMORIA DE CANTIDADES'!$D$5:$D$146,'MEMORIA DE CANTIDADES'!$J$5:$J$146)</f>
        <v>0.1</v>
      </c>
      <c r="G40" s="329">
        <f>+_xlfn.XLOOKUP($B40,LIST3[ID],LIST3[V/UNIT])</f>
        <v>106831</v>
      </c>
      <c r="H40" s="307">
        <f>ROUND(F40*G40,2)</f>
        <v>10683.1</v>
      </c>
      <c r="I40" s="3"/>
      <c r="J40" s="240">
        <f t="shared" si="11"/>
        <v>138880.30000000002</v>
      </c>
    </row>
    <row r="41" spans="2:12">
      <c r="B41" s="303" t="s">
        <v>430</v>
      </c>
      <c r="C41" s="303">
        <f>C40+0.01</f>
        <v>3.0499999999999989</v>
      </c>
      <c r="D41" s="304" t="str">
        <f>+_xlfn.XLOOKUP($B41,LIST3[ID],LIST3[DESCRIPCIÓN])</f>
        <v>ACERO DE REFUERZO 60.000 PSI</v>
      </c>
      <c r="E41" s="305" t="str">
        <f>+_xlfn.XLOOKUP($B41,LIST3[ID],LIST3[UNIDAD])</f>
        <v>KG</v>
      </c>
      <c r="F41" s="306">
        <f>+_xlfn.XLOOKUP(TEXT(PTO!D41,0),'MEMORIA DE CANTIDADES'!$D$5:$D$146,'MEMORIA DE CANTIDADES'!$J$5:$J$146)</f>
        <v>54.1</v>
      </c>
      <c r="G41" s="329">
        <f>+_xlfn.XLOOKUP($B41,LIST3[ID],LIST3[V/UNIT])</f>
        <v>10449</v>
      </c>
      <c r="H41" s="307">
        <f>ROUND(F41*G41,2)</f>
        <v>565290.9</v>
      </c>
      <c r="I41" s="3"/>
      <c r="J41" s="240">
        <f t="shared" si="11"/>
        <v>13583.7</v>
      </c>
    </row>
    <row r="42" spans="2:12" ht="24" customHeight="1">
      <c r="B42" s="436" t="s">
        <v>137</v>
      </c>
      <c r="C42" s="437"/>
      <c r="D42" s="437"/>
      <c r="E42" s="437"/>
      <c r="F42" s="437"/>
      <c r="G42" s="438"/>
      <c r="H42" s="76">
        <f>+H28+H5</f>
        <v>37706775.400000006</v>
      </c>
      <c r="I42" s="3"/>
      <c r="J42" s="240">
        <f>SUM(J7:J41)</f>
        <v>5066963.2</v>
      </c>
      <c r="K42" s="240">
        <f>SUM(K6:K41)</f>
        <v>49018808.020000003</v>
      </c>
      <c r="L42">
        <f>+H42*1.3</f>
        <v>49018808.020000011</v>
      </c>
    </row>
    <row r="43" spans="2:12">
      <c r="B43" s="439" t="s">
        <v>77</v>
      </c>
      <c r="C43" s="440"/>
      <c r="D43" s="440"/>
      <c r="E43" s="440"/>
      <c r="F43" s="441"/>
      <c r="G43" s="77">
        <v>0.25</v>
      </c>
      <c r="H43" s="78">
        <f>ROUND($H$42*G43,2)</f>
        <v>9426693.8499999996</v>
      </c>
    </row>
    <row r="44" spans="2:12">
      <c r="B44" s="439" t="s">
        <v>78</v>
      </c>
      <c r="C44" s="440"/>
      <c r="D44" s="440"/>
      <c r="E44" s="440"/>
      <c r="F44" s="441"/>
      <c r="G44" s="77">
        <v>0.01</v>
      </c>
      <c r="H44" s="78">
        <f>ROUND($H$42*G44,2)</f>
        <v>377067.75</v>
      </c>
    </row>
    <row r="45" spans="2:12">
      <c r="B45" s="439" t="s">
        <v>79</v>
      </c>
      <c r="C45" s="440"/>
      <c r="D45" s="440"/>
      <c r="E45" s="440"/>
      <c r="F45" s="441"/>
      <c r="G45" s="77">
        <v>0.04</v>
      </c>
      <c r="H45" s="78">
        <f>ROUND($H$42*G45,2)</f>
        <v>1508271.02</v>
      </c>
    </row>
    <row r="46" spans="2:12">
      <c r="B46" s="439" t="s">
        <v>80</v>
      </c>
      <c r="C46" s="440"/>
      <c r="D46" s="440"/>
      <c r="E46" s="440"/>
      <c r="F46" s="441"/>
      <c r="G46" s="77">
        <f>SUM(G43:G45)</f>
        <v>0.3</v>
      </c>
      <c r="H46" s="78">
        <f>SUM(H43:H45)</f>
        <v>11312032.619999999</v>
      </c>
      <c r="I46" s="128"/>
    </row>
    <row r="47" spans="2:12">
      <c r="B47" s="446" t="s">
        <v>81</v>
      </c>
      <c r="C47" s="447"/>
      <c r="D47" s="447"/>
      <c r="E47" s="447"/>
      <c r="F47" s="447"/>
      <c r="G47" s="448"/>
      <c r="H47" s="79">
        <f>ROUND(H46+H42,2)</f>
        <v>49018808.020000003</v>
      </c>
    </row>
    <row r="48" spans="2:12">
      <c r="B48" s="85"/>
      <c r="C48" s="85"/>
      <c r="D48" s="86"/>
      <c r="E48" s="86"/>
      <c r="F48" s="86"/>
      <c r="G48" s="86"/>
      <c r="H48" s="87"/>
    </row>
    <row r="49" spans="2:8">
      <c r="B49" s="85"/>
      <c r="C49" s="85"/>
      <c r="D49" s="86"/>
      <c r="E49" s="86"/>
      <c r="F49" s="86"/>
      <c r="G49" s="86"/>
      <c r="H49" s="87"/>
    </row>
    <row r="50" spans="2:8">
      <c r="B50" s="85"/>
      <c r="C50" s="85"/>
      <c r="D50" s="86"/>
      <c r="E50" s="86"/>
      <c r="F50" s="86"/>
      <c r="G50" s="86"/>
      <c r="H50" s="87"/>
    </row>
    <row r="51" spans="2:8">
      <c r="B51" s="85"/>
      <c r="C51" s="85"/>
      <c r="D51" s="86"/>
      <c r="E51" s="86"/>
      <c r="F51" s="86"/>
      <c r="G51" s="86"/>
      <c r="H51" s="87"/>
    </row>
    <row r="52" spans="2:8">
      <c r="B52" s="85"/>
      <c r="C52" s="85"/>
      <c r="D52" s="86"/>
      <c r="E52" s="86"/>
      <c r="F52" s="86"/>
      <c r="G52" s="86"/>
      <c r="H52" s="87"/>
    </row>
    <row r="53" spans="2:8">
      <c r="B53" s="80"/>
      <c r="C53" s="80"/>
      <c r="D53" s="81" t="s">
        <v>82</v>
      </c>
      <c r="E53" s="449" t="s">
        <v>83</v>
      </c>
      <c r="F53" s="449"/>
      <c r="G53" s="449"/>
      <c r="H53" s="450"/>
    </row>
    <row r="54" spans="2:8">
      <c r="B54" s="80"/>
      <c r="C54" s="80"/>
      <c r="D54" s="82" t="s">
        <v>655</v>
      </c>
      <c r="E54" s="442" t="s">
        <v>310</v>
      </c>
      <c r="F54" s="442"/>
      <c r="G54" s="442"/>
      <c r="H54" s="443"/>
    </row>
    <row r="55" spans="2:8">
      <c r="B55" s="83"/>
      <c r="C55" s="83"/>
      <c r="D55" s="84" t="s">
        <v>534</v>
      </c>
      <c r="E55" s="444" t="s">
        <v>54</v>
      </c>
      <c r="F55" s="444"/>
      <c r="G55" s="444"/>
      <c r="H55" s="445"/>
    </row>
    <row r="56" spans="2:8">
      <c r="B56" s="83"/>
      <c r="C56" s="83"/>
      <c r="D56" s="84"/>
      <c r="E56" s="102"/>
      <c r="F56" s="102"/>
      <c r="G56" s="102"/>
      <c r="H56" s="103"/>
    </row>
  </sheetData>
  <mergeCells count="14">
    <mergeCell ref="B42:G42"/>
    <mergeCell ref="B43:F43"/>
    <mergeCell ref="E54:H54"/>
    <mergeCell ref="E55:H55"/>
    <mergeCell ref="B44:F44"/>
    <mergeCell ref="B45:F45"/>
    <mergeCell ref="B46:F46"/>
    <mergeCell ref="B47:G47"/>
    <mergeCell ref="E53:H53"/>
    <mergeCell ref="E1:H1"/>
    <mergeCell ref="B2:H2"/>
    <mergeCell ref="D3:F3"/>
    <mergeCell ref="G3:H3"/>
    <mergeCell ref="B1:D1"/>
  </mergeCells>
  <phoneticPr fontId="8" type="noConversion"/>
  <pageMargins left="0.7" right="0.7" top="0.75" bottom="0.75" header="0.3" footer="0.3"/>
  <pageSetup scale="61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6D8E9-1BFB-433E-85A2-C7928A82FB1C}">
  <dimension ref="A1:H56"/>
  <sheetViews>
    <sheetView topLeftCell="A26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5.01</v>
      </c>
      <c r="E9" s="24" t="s">
        <v>28</v>
      </c>
      <c r="F9" s="23" t="str">
        <f>+VLOOKUP($D$10,LIST!B3:C54,2,FALSE)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518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520</v>
      </c>
      <c r="B15" s="479"/>
      <c r="C15" s="479"/>
      <c r="D15" s="480"/>
      <c r="E15" s="410" t="str">
        <f>IF($A15=0,0,VLOOKUP($A15,INS!$A$2:$E$106,2,FALSE))</f>
        <v>M2</v>
      </c>
      <c r="F15" s="142">
        <v>1</v>
      </c>
      <c r="G15" s="410">
        <f>IF($A15=0,0,VLOOKUP($A15,INS!$A$2:$G$106,6,FALSE))</f>
        <v>30000</v>
      </c>
      <c r="H15" s="29">
        <f t="shared" ref="H15:H21" si="0">+F15*G15</f>
        <v>30000</v>
      </c>
    </row>
    <row r="16" spans="1:8">
      <c r="A16" s="473"/>
      <c r="B16" s="474"/>
      <c r="C16" s="474"/>
      <c r="D16" s="475"/>
      <c r="E16" s="411">
        <f>IF($A16=0,0,VLOOKUP($A16,INS!$A$2:$E$106,2,FALSE))</f>
        <v>0</v>
      </c>
      <c r="F16" s="142"/>
      <c r="G16" s="410">
        <f>IF($A16=0,0,VLOOKUP($A16,INS!$A$2:$G$106,6,FALSE))</f>
        <v>0</v>
      </c>
      <c r="H16" s="29">
        <f t="shared" si="0"/>
        <v>0</v>
      </c>
    </row>
    <row r="17" spans="1:8" ht="17.399999999999999" customHeight="1">
      <c r="A17" s="478"/>
      <c r="B17" s="479"/>
      <c r="C17" s="479"/>
      <c r="D17" s="480"/>
      <c r="E17" s="411">
        <f>IF($A17=0,0,VLOOKUP($A17,INS!$A$2:$E$106,2,FALSE))</f>
        <v>0</v>
      </c>
      <c r="F17" s="142"/>
      <c r="G17" s="410">
        <f>IF($A17=0,0,VLOOKUP($A17,INS!$A$2:$G$106,6,FALSE))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411">
        <f>IF($A21=0,0,VLOOKUP($A21,INS!$A$2:$E$106,2,FALSE))</f>
        <v>0</v>
      </c>
      <c r="F21" s="142"/>
      <c r="G21" s="410">
        <f>IF($A21=0,0,VLOOKUP($A21,INS!$A$2:$G$106,6,FALSE))</f>
        <v>0</v>
      </c>
      <c r="H21" s="29">
        <f t="shared" si="0"/>
        <v>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33468.75</v>
      </c>
      <c r="H22" s="29">
        <f>F22*G22</f>
        <v>1673.4375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31673.4375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>
        <f>+F15</f>
        <v>1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0.85</v>
      </c>
      <c r="H43" s="53">
        <f>F43*G43</f>
        <v>21072.916666666668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0.85</v>
      </c>
      <c r="H44" s="53">
        <f t="shared" ref="H44:H45" si="1">F44*G44</f>
        <v>12395.833333333334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33468.75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65142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319BEC83-36D5-4127-B7CF-0FAD87B2D9A5}">
          <x14:formula1>
            <xm:f>LIST!$B$3:$B$85</xm:f>
          </x14:formula1>
          <xm:sqref>D10:H11</xm:sqref>
        </x14:dataValidation>
        <x14:dataValidation type="list" showInputMessage="1" showErrorMessage="1" xr:uid="{B290FAB7-E86D-4CD6-A096-B830591109E3}">
          <x14:formula1>
            <xm:f>TRANS!$A$2:$A$20</xm:f>
          </x14:formula1>
          <xm:sqref>A35:C35</xm:sqref>
        </x14:dataValidation>
        <x14:dataValidation type="list" allowBlank="1" showInputMessage="1" showErrorMessage="1" xr:uid="{02A0138B-1F00-430B-9E7F-DBCC81F43345}">
          <x14:formula1>
            <xm:f>EQUI!$A$2:$A$38</xm:f>
          </x14:formula1>
          <xm:sqref>A27:C28</xm:sqref>
        </x14:dataValidation>
        <x14:dataValidation type="list" showInputMessage="1" showErrorMessage="1" xr:uid="{48B62F2C-FFC0-4C44-8FFD-EDC07A146DB8}">
          <x14:formula1>
            <xm:f>INS!$A$2:$A$89</xm:f>
          </x14:formula1>
          <xm:sqref>A15:D21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B9652-AED7-4F53-AD59-ECA3024140B5}">
  <dimension ref="A1:H56"/>
  <sheetViews>
    <sheetView topLeftCell="C1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M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600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529</v>
      </c>
      <c r="B15" s="479"/>
      <c r="C15" s="479"/>
      <c r="D15" s="480"/>
      <c r="E15" s="410" t="str">
        <f>IF($A15=0,0,VLOOKUP($A15,INS!$A$2:$E$106,2,FALSE))</f>
        <v>UND</v>
      </c>
      <c r="F15" s="142">
        <v>0.5</v>
      </c>
      <c r="G15" s="410">
        <f>IF($A15=0,0,VLOOKUP($A15,INS!$A$2:$G$106,6,FALSE))</f>
        <v>15000</v>
      </c>
      <c r="H15" s="29">
        <f t="shared" ref="H15:H20" si="0">+F15*G15</f>
        <v>7500</v>
      </c>
    </row>
    <row r="16" spans="1:8">
      <c r="A16" s="473" t="s">
        <v>515</v>
      </c>
      <c r="B16" s="474"/>
      <c r="C16" s="474"/>
      <c r="D16" s="475"/>
      <c r="E16" s="410" t="str">
        <f>IF($A16=0,0,VLOOKUP($A16,INS!$A$2:$E$106,2,FALSE))</f>
        <v>UND</v>
      </c>
      <c r="F16" s="142">
        <v>2</v>
      </c>
      <c r="G16" s="410">
        <f>IF($A16=0,0,VLOOKUP($A16,INS!$A$2:$G$106,6,FALSE))</f>
        <v>400</v>
      </c>
      <c r="H16" s="29">
        <f t="shared" si="0"/>
        <v>800</v>
      </c>
    </row>
    <row r="17" spans="1:8" ht="17.399999999999999" customHeight="1">
      <c r="A17" s="478" t="s">
        <v>376</v>
      </c>
      <c r="B17" s="479"/>
      <c r="C17" s="479"/>
      <c r="D17" s="480"/>
      <c r="E17" s="411" t="str">
        <f>IF($A17=0,0,VLOOKUP($A17,INS!$A$2:$E$106,2,FALSE))</f>
        <v>ROLLO</v>
      </c>
      <c r="F17" s="142">
        <v>0.03</v>
      </c>
      <c r="G17" s="410">
        <f>IF($A17=0,0,VLOOKUP($A17,INS!$A$2:$G$106,6,FALSE))</f>
        <v>245000</v>
      </c>
      <c r="H17" s="29">
        <f t="shared" si="0"/>
        <v>7350</v>
      </c>
    </row>
    <row r="18" spans="1:8">
      <c r="A18" s="473" t="s">
        <v>516</v>
      </c>
      <c r="B18" s="474"/>
      <c r="C18" s="474"/>
      <c r="D18" s="475"/>
      <c r="E18" s="411" t="str">
        <f>IF($A18=0,0,VLOOKUP($A18,INS!$A$2:$E$106,2,FALSE))</f>
        <v>ROLLO</v>
      </c>
      <c r="F18" s="142">
        <v>0.01</v>
      </c>
      <c r="G18" s="410">
        <f>IF($A18=0,0,VLOOKUP($A18,INS!$A$2:$G$106,6,FALSE))</f>
        <v>90000</v>
      </c>
      <c r="H18" s="29">
        <f t="shared" si="0"/>
        <v>900</v>
      </c>
    </row>
    <row r="19" spans="1:8">
      <c r="A19" s="473" t="s">
        <v>495</v>
      </c>
      <c r="B19" s="474"/>
      <c r="C19" s="474"/>
      <c r="D19" s="475"/>
      <c r="E19" s="411" t="str">
        <f>IF($A19=0,0,VLOOKUP($A19,INS!$A$2:$E$106,2,FALSE))</f>
        <v>UND</v>
      </c>
      <c r="F19" s="142">
        <v>1</v>
      </c>
      <c r="G19" s="410">
        <f>IF($A19=0,0,VLOOKUP($A19,INS!$A$2:$G$106,6,FALSE))</f>
        <v>9000</v>
      </c>
      <c r="H19" s="29">
        <f t="shared" si="0"/>
        <v>9000</v>
      </c>
    </row>
    <row r="20" spans="1:8">
      <c r="A20" s="473" t="s">
        <v>517</v>
      </c>
      <c r="B20" s="474"/>
      <c r="C20" s="474"/>
      <c r="D20" s="475"/>
      <c r="E20" s="411" t="str">
        <f>IF($A20=0,0,VLOOKUP($A20,INS!$A$2:$E$106,2,FALSE))</f>
        <v>UND</v>
      </c>
      <c r="F20" s="142">
        <v>1</v>
      </c>
      <c r="G20" s="410">
        <f>IF($A20=0,0,VLOOKUP($A20,INS!$A$2:$G$106,6,FALSE))</f>
        <v>17000</v>
      </c>
      <c r="H20" s="29">
        <f t="shared" si="0"/>
        <v>17000</v>
      </c>
    </row>
    <row r="21" spans="1:8">
      <c r="A21" s="473" t="s">
        <v>494</v>
      </c>
      <c r="B21" s="474"/>
      <c r="C21" s="474"/>
      <c r="D21" s="475"/>
      <c r="E21" s="411" t="str">
        <f>IF($A21=0,0,VLOOKUP($A21,INS!$A$2:$E$106,2,FALSE))</f>
        <v>UND</v>
      </c>
      <c r="F21" s="142">
        <v>1</v>
      </c>
      <c r="G21" s="410">
        <f>IF($A21=0,0,VLOOKUP($A21,INS!$A$2:$G$106,6,FALSE))</f>
        <v>2000</v>
      </c>
      <c r="H21" s="29">
        <f t="shared" ref="H21" si="1">+F21*G21</f>
        <v>2000</v>
      </c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63000.000000000007</v>
      </c>
      <c r="H22" s="29">
        <f>F22*G22</f>
        <v>3150.0000000000005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47700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>
        <f>+F15</f>
        <v>0.5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1.6</v>
      </c>
      <c r="H43" s="53">
        <f>F43*G43</f>
        <v>39666.666666666672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1.6</v>
      </c>
      <c r="H44" s="53">
        <f t="shared" ref="H44:H45" si="2">F44*G44</f>
        <v>23333.333333333336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2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63000.000000000007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110700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0FBD4D39-1925-4661-8A59-5CF44E27680A}">
          <x14:formula1>
            <xm:f>INS!$A$2:$A$89</xm:f>
          </x14:formula1>
          <xm:sqref>A15:D21</xm:sqref>
        </x14:dataValidation>
        <x14:dataValidation type="list" allowBlank="1" showInputMessage="1" showErrorMessage="1" xr:uid="{5E4F3A9D-2971-48CD-AA2F-9EFB343AECF3}">
          <x14:formula1>
            <xm:f>EQUI!$A$2:$A$38</xm:f>
          </x14:formula1>
          <xm:sqref>A27:C28</xm:sqref>
        </x14:dataValidation>
        <x14:dataValidation type="list" showInputMessage="1" showErrorMessage="1" xr:uid="{77E62B5C-3AC4-4CB0-851D-CE7DEE3D9F05}">
          <x14:formula1>
            <xm:f>TRANS!$A$2:$A$20</xm:f>
          </x14:formula1>
          <xm:sqref>A35:C35</xm:sqref>
        </x14:dataValidation>
        <x14:dataValidation type="list" showInputMessage="1" showErrorMessage="1" xr:uid="{E6D1E360-F0A9-4E47-BAED-7D923EB19D02}">
          <x14:formula1>
            <xm:f>LIST!$B$3:$B$85</xm:f>
          </x14:formula1>
          <xm:sqref>D10:H11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AB0B6-91CD-4BC1-9519-C870A8492365}">
  <dimension ref="A1:H56"/>
  <sheetViews>
    <sheetView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500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494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2000</v>
      </c>
      <c r="H15" s="29">
        <f t="shared" ref="H15:H20" si="0">+F15*G15</f>
        <v>2000</v>
      </c>
    </row>
    <row r="16" spans="1:8">
      <c r="A16" s="473" t="s">
        <v>501</v>
      </c>
      <c r="B16" s="474"/>
      <c r="C16" s="474"/>
      <c r="D16" s="475"/>
      <c r="E16" s="410" t="str">
        <f>IF($A16=0,0,VLOOKUP($A16,INS!$A$2:$E$106,2,FALSE))</f>
        <v>UND</v>
      </c>
      <c r="F16" s="142">
        <v>1</v>
      </c>
      <c r="G16" s="410">
        <f>IF($A16=0,0,VLOOKUP($A16,INS!$A$2:$G$106,6,FALSE))</f>
        <v>2500</v>
      </c>
      <c r="H16" s="29">
        <f t="shared" si="0"/>
        <v>2500</v>
      </c>
    </row>
    <row r="17" spans="1:8" ht="17.399999999999999" customHeight="1">
      <c r="A17" s="478" t="s">
        <v>496</v>
      </c>
      <c r="B17" s="479"/>
      <c r="C17" s="479"/>
      <c r="D17" s="480"/>
      <c r="E17" s="411" t="str">
        <f>IF($A17=0,0,VLOOKUP($A17,INS!$A$2:$E$106,2,FALSE))</f>
        <v>UND</v>
      </c>
      <c r="F17" s="142">
        <v>0.1</v>
      </c>
      <c r="G17" s="410">
        <f>IF($A17=0,0,VLOOKUP($A17,INS!$A$2:$G$106,6,FALSE))</f>
        <v>5000</v>
      </c>
      <c r="H17" s="29">
        <f t="shared" si="0"/>
        <v>500</v>
      </c>
    </row>
    <row r="18" spans="1:8">
      <c r="A18" s="473" t="s">
        <v>502</v>
      </c>
      <c r="B18" s="474"/>
      <c r="C18" s="474"/>
      <c r="D18" s="475"/>
      <c r="E18" s="411" t="str">
        <f>IF($A18=0,0,VLOOKUP($A18,INS!$A$2:$E$106,2,FALSE))</f>
        <v>UND</v>
      </c>
      <c r="F18" s="142">
        <v>1</v>
      </c>
      <c r="G18" s="410">
        <f>IF($A18=0,0,VLOOKUP($A18,INS!$A$2:$G$106,6,FALSE))</f>
        <v>7000</v>
      </c>
      <c r="H18" s="29">
        <f t="shared" si="0"/>
        <v>7000</v>
      </c>
    </row>
    <row r="19" spans="1:8">
      <c r="A19" s="473" t="s">
        <v>505</v>
      </c>
      <c r="B19" s="474"/>
      <c r="C19" s="474"/>
      <c r="D19" s="475"/>
      <c r="E19" s="411" t="str">
        <f>IF($A19=0,0,VLOOKUP($A19,INS!$A$2:$E$106,2,FALSE))</f>
        <v>UND</v>
      </c>
      <c r="F19" s="142">
        <v>1</v>
      </c>
      <c r="G19" s="410">
        <f>IF($A19=0,0,VLOOKUP($A19,INS!$A$2:$G$106,6,FALSE))</f>
        <v>20000</v>
      </c>
      <c r="H19" s="29">
        <f t="shared" si="0"/>
        <v>20000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19687.5</v>
      </c>
      <c r="H22" s="29">
        <f>F22*G22</f>
        <v>984.375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32984.375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>
        <f>+F15</f>
        <v>1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53">
        <f>F43*G43</f>
        <v>12395.833333333334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53">
        <f t="shared" ref="H44:H45" si="1">F44*G44</f>
        <v>7291.666666666667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19687.5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52672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CFB388D1-A2B3-4043-9B27-2D4C7356E1D2}">
          <x14:formula1>
            <xm:f>LIST!$B$3:$B$85</xm:f>
          </x14:formula1>
          <xm:sqref>D10:H11</xm:sqref>
        </x14:dataValidation>
        <x14:dataValidation type="list" showInputMessage="1" showErrorMessage="1" xr:uid="{51D93DB8-AF39-4AFB-B92B-FF00C6489A40}">
          <x14:formula1>
            <xm:f>TRANS!$A$2:$A$20</xm:f>
          </x14:formula1>
          <xm:sqref>A35:C35</xm:sqref>
        </x14:dataValidation>
        <x14:dataValidation type="list" allowBlank="1" showInputMessage="1" showErrorMessage="1" xr:uid="{A157BAEF-B187-4689-8B15-4DCC6135CC67}">
          <x14:formula1>
            <xm:f>EQUI!$A$2:$A$38</xm:f>
          </x14:formula1>
          <xm:sqref>A27:C28</xm:sqref>
        </x14:dataValidation>
        <x14:dataValidation type="list" showInputMessage="1" showErrorMessage="1" xr:uid="{701BDC56-096E-443C-8D71-B1176D4266F2}">
          <x14:formula1>
            <xm:f>INS!$A$2:$A$89</xm:f>
          </x14:formula1>
          <xm:sqref>A15:D20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DC5A0-84B0-4BD5-ACD8-B539388697C5}">
  <dimension ref="A1:H56"/>
  <sheetViews>
    <sheetView topLeftCell="A8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499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494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2000</v>
      </c>
      <c r="H15" s="29">
        <f t="shared" ref="H15:H20" si="0">+F15*G15</f>
        <v>2000</v>
      </c>
    </row>
    <row r="16" spans="1:8">
      <c r="A16" s="473" t="s">
        <v>501</v>
      </c>
      <c r="B16" s="474"/>
      <c r="C16" s="474"/>
      <c r="D16" s="475"/>
      <c r="E16" s="410" t="str">
        <f>IF($A16=0,0,VLOOKUP($A16,INS!$A$2:$E$106,2,FALSE))</f>
        <v>UND</v>
      </c>
      <c r="F16" s="142">
        <v>1</v>
      </c>
      <c r="G16" s="410">
        <f>IF($A16=0,0,VLOOKUP($A16,INS!$A$2:$G$106,6,FALSE))</f>
        <v>2500</v>
      </c>
      <c r="H16" s="29">
        <f t="shared" si="0"/>
        <v>2500</v>
      </c>
    </row>
    <row r="17" spans="1:8" ht="17.399999999999999" customHeight="1">
      <c r="A17" s="478" t="s">
        <v>496</v>
      </c>
      <c r="B17" s="479"/>
      <c r="C17" s="479"/>
      <c r="D17" s="480"/>
      <c r="E17" s="411" t="str">
        <f>IF($A17=0,0,VLOOKUP($A17,INS!$A$2:$E$106,2,FALSE))</f>
        <v>UND</v>
      </c>
      <c r="F17" s="142">
        <v>0.1</v>
      </c>
      <c r="G17" s="410">
        <f>IF($A17=0,0,VLOOKUP($A17,INS!$A$2:$G$106,6,FALSE))</f>
        <v>5000</v>
      </c>
      <c r="H17" s="29">
        <f t="shared" si="0"/>
        <v>500</v>
      </c>
    </row>
    <row r="18" spans="1:8">
      <c r="A18" s="473" t="s">
        <v>502</v>
      </c>
      <c r="B18" s="474"/>
      <c r="C18" s="474"/>
      <c r="D18" s="475"/>
      <c r="E18" s="411" t="str">
        <f>IF($A18=0,0,VLOOKUP($A18,INS!$A$2:$E$106,2,FALSE))</f>
        <v>UND</v>
      </c>
      <c r="F18" s="142">
        <v>1</v>
      </c>
      <c r="G18" s="410">
        <f>IF($A18=0,0,VLOOKUP($A18,INS!$A$2:$G$106,6,FALSE))</f>
        <v>7000</v>
      </c>
      <c r="H18" s="29">
        <f t="shared" si="0"/>
        <v>7000</v>
      </c>
    </row>
    <row r="19" spans="1:8">
      <c r="A19" s="473" t="s">
        <v>503</v>
      </c>
      <c r="B19" s="474"/>
      <c r="C19" s="474"/>
      <c r="D19" s="475"/>
      <c r="E19" s="411" t="str">
        <f>IF($A19=0,0,VLOOKUP($A19,INS!$A$2:$E$106,2,FALSE))</f>
        <v>UND</v>
      </c>
      <c r="F19" s="142">
        <v>1</v>
      </c>
      <c r="G19" s="410">
        <f>IF($A19=0,0,VLOOKUP($A19,INS!$A$2:$G$106,6,FALSE))</f>
        <v>5000</v>
      </c>
      <c r="H19" s="29">
        <f t="shared" si="0"/>
        <v>5000</v>
      </c>
    </row>
    <row r="20" spans="1:8">
      <c r="A20" s="473" t="s">
        <v>504</v>
      </c>
      <c r="B20" s="474"/>
      <c r="C20" s="474"/>
      <c r="D20" s="475"/>
      <c r="E20" s="411" t="str">
        <f>IF($A20=0,0,VLOOKUP($A20,INS!$A$2:$E$106,2,FALSE))</f>
        <v>UND</v>
      </c>
      <c r="F20" s="142">
        <v>1</v>
      </c>
      <c r="G20" s="410">
        <f>IF($A20=0,0,VLOOKUP($A20,INS!$A$2:$G$106,6,FALSE))</f>
        <v>25000</v>
      </c>
      <c r="H20" s="29">
        <f t="shared" si="0"/>
        <v>25000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22443.75</v>
      </c>
      <c r="H22" s="29">
        <f>F22*G22</f>
        <v>1122.1875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43122.1875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>
        <f>+F15</f>
        <v>1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0.56999999999999995</v>
      </c>
      <c r="H43" s="53">
        <f>F43*G43</f>
        <v>14131.25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0.56999999999999995</v>
      </c>
      <c r="H44" s="53">
        <f t="shared" ref="H44:H45" si="1">F44*G44</f>
        <v>8312.5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22443.75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65566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093D523-0DDB-4625-9E88-E5DFD6D69526}">
          <x14:formula1>
            <xm:f>INS!$A$2:$A$89</xm:f>
          </x14:formula1>
          <xm:sqref>A15:D20</xm:sqref>
        </x14:dataValidation>
        <x14:dataValidation type="list" allowBlank="1" showInputMessage="1" showErrorMessage="1" xr:uid="{AAC5ECF4-3203-4CB3-A502-91A32A807FB8}">
          <x14:formula1>
            <xm:f>EQUI!$A$2:$A$38</xm:f>
          </x14:formula1>
          <xm:sqref>A27:C28</xm:sqref>
        </x14:dataValidation>
        <x14:dataValidation type="list" showInputMessage="1" showErrorMessage="1" xr:uid="{97B06F5C-0A93-45C9-BB9A-3AC908C8A95E}">
          <x14:formula1>
            <xm:f>TRANS!$A$2:$A$20</xm:f>
          </x14:formula1>
          <xm:sqref>A35:C35</xm:sqref>
        </x14:dataValidation>
        <x14:dataValidation type="list" showInputMessage="1" showErrorMessage="1" xr:uid="{47174287-CE41-4B28-A040-2F5EFE8811F3}">
          <x14:formula1>
            <xm:f>LIST!$B$3:$B$85</xm:f>
          </x14:formula1>
          <xm:sqref>D10:H11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D5758-BB91-4C7D-A17B-5548FB34E3A5}">
  <dimension ref="A1:H56"/>
  <sheetViews>
    <sheetView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4.0199999999999996</v>
      </c>
      <c r="E9" s="24" t="s">
        <v>28</v>
      </c>
      <c r="F9" s="23" t="str">
        <f>+VLOOKUP($D$10,LIST!B3:C54,2,FALSE)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492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494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2000</v>
      </c>
      <c r="H15" s="29">
        <f t="shared" ref="H15:H20" si="0">+F15*G15</f>
        <v>2000</v>
      </c>
    </row>
    <row r="16" spans="1:8">
      <c r="A16" s="473" t="s">
        <v>495</v>
      </c>
      <c r="B16" s="474"/>
      <c r="C16" s="474"/>
      <c r="D16" s="475"/>
      <c r="E16" s="410" t="str">
        <f>IF($A16=0,0,VLOOKUP($A16,INS!$A$2:$E$106,2,FALSE))</f>
        <v>UND</v>
      </c>
      <c r="F16" s="142">
        <v>1</v>
      </c>
      <c r="G16" s="410">
        <f>IF($A16=0,0,VLOOKUP($A16,INS!$A$2:$G$106,6,FALSE))</f>
        <v>9000</v>
      </c>
      <c r="H16" s="29">
        <f t="shared" si="0"/>
        <v>9000</v>
      </c>
    </row>
    <row r="17" spans="1:8" ht="17.399999999999999" customHeight="1">
      <c r="A17" s="478" t="s">
        <v>496</v>
      </c>
      <c r="B17" s="479"/>
      <c r="C17" s="479"/>
      <c r="D17" s="480"/>
      <c r="E17" s="411" t="str">
        <f>IF($A17=0,0,VLOOKUP($A17,INS!$A$2:$E$106,2,FALSE))</f>
        <v>UND</v>
      </c>
      <c r="F17" s="142">
        <v>0.1</v>
      </c>
      <c r="G17" s="410">
        <f>IF($A17=0,0,VLOOKUP($A17,INS!$A$2:$G$106,6,FALSE))</f>
        <v>5000</v>
      </c>
      <c r="H17" s="29">
        <f t="shared" si="0"/>
        <v>500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>
        <v>0.34</v>
      </c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>
        <v>0.1</v>
      </c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18885.416666666668</v>
      </c>
      <c r="H22" s="29">
        <f>F22*G22</f>
        <v>944.27083333333348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12444.270833333334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>
        <f>+F15</f>
        <v>1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3" s="53">
        <f>F43*G43</f>
        <v>8677.0833333333339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4" s="53">
        <f t="shared" ref="H44:H45" si="1">F44*G44</f>
        <v>10208.333333333334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18885.416666666668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31330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9FE1891A-3D36-4AF3-996E-C5C52329DD7C}">
          <x14:formula1>
            <xm:f>LIST!$B$3:$B$85</xm:f>
          </x14:formula1>
          <xm:sqref>D10:H11</xm:sqref>
        </x14:dataValidation>
        <x14:dataValidation type="list" showInputMessage="1" showErrorMessage="1" xr:uid="{C7561B6A-ECE5-4BDC-9717-B1A59502141D}">
          <x14:formula1>
            <xm:f>TRANS!$A$2:$A$20</xm:f>
          </x14:formula1>
          <xm:sqref>A35:C35</xm:sqref>
        </x14:dataValidation>
        <x14:dataValidation type="list" allowBlank="1" showInputMessage="1" showErrorMessage="1" xr:uid="{A282E825-880D-4E6E-9465-4E96AE31437C}">
          <x14:formula1>
            <xm:f>EQUI!$A$2:$A$38</xm:f>
          </x14:formula1>
          <xm:sqref>A27:C28</xm:sqref>
        </x14:dataValidation>
        <x14:dataValidation type="list" showInputMessage="1" showErrorMessage="1" xr:uid="{AB498F05-414D-4D08-9B6C-E7BBB6BC4D14}">
          <x14:formula1>
            <xm:f>INS!$A$2:$A$89</xm:f>
          </x14:formula1>
          <xm:sqref>A15:D20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B7034-2280-461F-BE9A-D33A886E6ECE}">
  <dimension ref="A1:H56"/>
  <sheetViews>
    <sheetView topLeftCell="A3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+_xlfn.XLOOKUP($D$10,LIST[DESCRIPCIÓN],LIST[UNIDAD])</f>
        <v>M3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484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/>
      <c r="B15" s="479"/>
      <c r="C15" s="479"/>
      <c r="D15" s="480"/>
      <c r="E15" s="411">
        <f>IF($A15=0,0,VLOOKUP($A15,INS!$A$2:$E$106,2,FALSE))</f>
        <v>0</v>
      </c>
      <c r="F15" s="142"/>
      <c r="G15" s="410">
        <f>IF($A15=0,0,VLOOKUP($A15,INS!$A$2:$G$106,6,FALSE))</f>
        <v>0</v>
      </c>
      <c r="H15" s="29">
        <f t="shared" ref="H15:H20" si="0">+F15*G15</f>
        <v>0</v>
      </c>
    </row>
    <row r="16" spans="1:8">
      <c r="A16" s="473"/>
      <c r="B16" s="474"/>
      <c r="C16" s="474"/>
      <c r="D16" s="475"/>
      <c r="E16" s="411">
        <f>IF($A16=0,0,VLOOKUP($A16,INS!$A$2:$E$106,2,FALSE))</f>
        <v>0</v>
      </c>
      <c r="F16" s="142"/>
      <c r="G16" s="410">
        <f>IF($A16=0,0,VLOOKUP($A16,INS!$A$2:$G$106,6,FALSE))</f>
        <v>0</v>
      </c>
      <c r="H16" s="29">
        <f t="shared" si="0"/>
        <v>0</v>
      </c>
    </row>
    <row r="17" spans="1:8" ht="17.399999999999999" customHeight="1">
      <c r="A17" s="478"/>
      <c r="B17" s="479"/>
      <c r="C17" s="479"/>
      <c r="D17" s="480"/>
      <c r="E17" s="411">
        <f>IF($A17=0,0,VLOOKUP($A17,INS!$A$2:$E$106,2,FALSE))</f>
        <v>0</v>
      </c>
      <c r="F17" s="142"/>
      <c r="G17" s="410">
        <f>IF($A17=0,0,VLOOKUP($A17,INS!$A$2:$G$106,6,FALSE))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2362.5</v>
      </c>
      <c r="H22" s="29">
        <f>F22*G22</f>
        <v>118.125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118.125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485</v>
      </c>
      <c r="B27" s="467"/>
      <c r="C27" s="467"/>
      <c r="D27" s="69"/>
      <c r="E27" s="23"/>
      <c r="F27" s="65">
        <f>IF($A27=0,0,VLOOKUP($A27,EQUI!$A$2:$E$38,3,FALSE))</f>
        <v>168000</v>
      </c>
      <c r="G27" s="142">
        <f>+IF($A27=0,0,VLOOKUP($A27,EQUI!$A$2:$E$38,5,FALSE))</f>
        <v>0.1</v>
      </c>
      <c r="H27" s="29">
        <f>F27*G27</f>
        <v>16800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16800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309</v>
      </c>
      <c r="B35" s="471"/>
      <c r="C35" s="471"/>
      <c r="D35" s="146">
        <f>IF($A$35=0,0,VLOOKUP($A$35,TRANS!$A$2:$F$38,5,FALSE))</f>
        <v>1.3</v>
      </c>
      <c r="E35" s="46">
        <f>IF($A$35=0,0,VLOOKUP($A$35,TRANS!$A$2:$D$39,3,FALSE))</f>
        <v>5</v>
      </c>
      <c r="F35" s="169">
        <v>1</v>
      </c>
      <c r="G35" s="145">
        <f>IF($A$35=0,0,VLOOKUP($A$35,TRANS!$A$2:$D$38,4,FALSE))</f>
        <v>1800</v>
      </c>
      <c r="H35" s="29">
        <f>+E35*F35*G35*D35</f>
        <v>11700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11700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0.06</v>
      </c>
      <c r="H43" s="53">
        <f>F43*G43</f>
        <v>1487.5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0.06</v>
      </c>
      <c r="H44" s="53">
        <f t="shared" ref="H44:H45" si="1">F44*G44</f>
        <v>875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2362.5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30981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FEC540EC-4990-4FAE-BB3E-6E75C6DF7767}">
          <x14:formula1>
            <xm:f>INS!$A$2:$A$89</xm:f>
          </x14:formula1>
          <xm:sqref>A15:D20</xm:sqref>
        </x14:dataValidation>
        <x14:dataValidation type="list" allowBlank="1" showInputMessage="1" showErrorMessage="1" xr:uid="{7C4E37B5-4C0B-4662-A784-54AD6CD0C011}">
          <x14:formula1>
            <xm:f>EQUI!$A$2:$A$38</xm:f>
          </x14:formula1>
          <xm:sqref>A27:C28</xm:sqref>
        </x14:dataValidation>
        <x14:dataValidation type="list" showInputMessage="1" showErrorMessage="1" xr:uid="{063268D4-A28D-431A-9177-E4BEFA5DE29B}">
          <x14:formula1>
            <xm:f>TRANS!$A$2:$A$20</xm:f>
          </x14:formula1>
          <xm:sqref>A35:C35</xm:sqref>
        </x14:dataValidation>
        <x14:dataValidation type="list" showInputMessage="1" showErrorMessage="1" xr:uid="{7FD5EDDD-1BDC-46CB-866E-1A7B1AF6ADB4}">
          <x14:formula1>
            <xm:f>LIST!$B$3:$B$85</xm:f>
          </x14:formula1>
          <xm:sqref>D10:H11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4692-754D-4E17-964D-EEC758D145FF}">
  <dimension ref="A1:K56"/>
  <sheetViews>
    <sheetView topLeftCell="A32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1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11" ht="15" thickTop="1">
      <c r="A2" s="20"/>
      <c r="B2" s="21"/>
      <c r="C2" s="21"/>
      <c r="D2" s="21"/>
      <c r="E2" s="21"/>
      <c r="F2" s="21"/>
      <c r="G2" s="21"/>
      <c r="H2" s="22"/>
    </row>
    <row r="3" spans="1:11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11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11" ht="25.5" customHeight="1">
      <c r="A5" s="20"/>
      <c r="B5" s="21"/>
      <c r="C5" s="21"/>
      <c r="D5" s="21"/>
      <c r="E5" s="21"/>
      <c r="F5" s="21"/>
      <c r="G5" s="21"/>
      <c r="H5" s="22"/>
    </row>
    <row r="6" spans="1:11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11" ht="24.75" customHeight="1">
      <c r="A7" s="486"/>
      <c r="B7" s="487"/>
      <c r="C7" s="487"/>
      <c r="D7" s="487"/>
      <c r="E7" s="487"/>
      <c r="F7" s="487"/>
      <c r="G7" s="487"/>
      <c r="H7" s="487"/>
    </row>
    <row r="8" spans="1:11">
      <c r="A8" s="20"/>
      <c r="B8" s="21"/>
      <c r="C8" s="21"/>
      <c r="D8" s="21"/>
      <c r="E8" s="21"/>
      <c r="F8" s="21"/>
      <c r="G8" s="21"/>
      <c r="H8" s="22"/>
    </row>
    <row r="9" spans="1:11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+_xlfn.XLOOKUP($D$10,LIST[DESCRIPCIÓN],LIST[UNIDAD])</f>
        <v>M2</v>
      </c>
      <c r="G9" s="24" t="s">
        <v>22</v>
      </c>
      <c r="H9" s="25">
        <v>1</v>
      </c>
    </row>
    <row r="10" spans="1:11">
      <c r="A10" s="476" t="s">
        <v>4</v>
      </c>
      <c r="B10" s="476"/>
      <c r="C10" s="476"/>
      <c r="D10" s="477" t="s">
        <v>528</v>
      </c>
      <c r="E10" s="477"/>
      <c r="F10" s="477"/>
      <c r="G10" s="477"/>
      <c r="H10" s="477"/>
    </row>
    <row r="11" spans="1:11">
      <c r="A11" s="476"/>
      <c r="B11" s="476"/>
      <c r="C11" s="476"/>
      <c r="D11" s="477"/>
      <c r="E11" s="477"/>
      <c r="F11" s="477"/>
      <c r="G11" s="477"/>
      <c r="H11" s="477"/>
    </row>
    <row r="12" spans="1:11">
      <c r="A12" s="20"/>
      <c r="B12" s="21"/>
      <c r="C12" s="21"/>
      <c r="D12" s="21"/>
      <c r="E12" s="21"/>
      <c r="F12" s="21"/>
      <c r="G12" s="21"/>
      <c r="H12" s="22"/>
    </row>
    <row r="13" spans="1:11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11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11" ht="14.4" customHeight="1">
      <c r="A15" s="478" t="s">
        <v>523</v>
      </c>
      <c r="B15" s="479"/>
      <c r="C15" s="479"/>
      <c r="D15" s="480"/>
      <c r="E15" s="410" t="str">
        <f>IF($A15=0,0,VLOOKUP($A15,INS!$A$2:$E$106,2,FALSE))</f>
        <v>5 GLN</v>
      </c>
      <c r="F15" s="404">
        <v>0.05</v>
      </c>
      <c r="G15" s="410">
        <f>IF($A15=0,0,VLOOKUP($A15,INS!$A$2:$G$106,6,FALSE))</f>
        <v>480000</v>
      </c>
      <c r="H15" s="29">
        <f t="shared" ref="H15:H20" si="0">+F15*G15</f>
        <v>24000</v>
      </c>
      <c r="J15" s="398">
        <v>4</v>
      </c>
      <c r="K15">
        <v>1</v>
      </c>
    </row>
    <row r="16" spans="1:11">
      <c r="A16" s="473" t="s">
        <v>526</v>
      </c>
      <c r="B16" s="474"/>
      <c r="C16" s="474"/>
      <c r="D16" s="475"/>
      <c r="E16" s="411" t="str">
        <f>IF($A16=0,0,VLOOKUP($A16,INS!$A$2:$E$106,2,FALSE))</f>
        <v>UND</v>
      </c>
      <c r="F16" s="142">
        <v>0.2</v>
      </c>
      <c r="G16" s="410">
        <f>IF($A16=0,0,VLOOKUP($A16,INS!$A$2:$G$106,6,FALSE))</f>
        <v>17900</v>
      </c>
      <c r="H16" s="29">
        <f t="shared" si="0"/>
        <v>3580</v>
      </c>
    </row>
    <row r="17" spans="1:8" ht="17.399999999999999" customHeight="1">
      <c r="A17" s="478" t="s">
        <v>527</v>
      </c>
      <c r="B17" s="479"/>
      <c r="C17" s="479"/>
      <c r="D17" s="480"/>
      <c r="E17" s="411" t="str">
        <f>IF($A17=0,0,VLOOKUP($A17,INS!$A$2:$E$106,2,FALSE))</f>
        <v>UND</v>
      </c>
      <c r="F17" s="142">
        <v>0.2</v>
      </c>
      <c r="G17" s="410">
        <f>IF($A17=0,0,VLOOKUP($A17,INS!$A$2:$G$106,6,FALSE))</f>
        <v>50000</v>
      </c>
      <c r="H17" s="29">
        <f t="shared" si="0"/>
        <v>10000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9712.5</v>
      </c>
      <c r="H22" s="29">
        <f>F22*G22</f>
        <v>485.625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38065.625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491</v>
      </c>
      <c r="B27" s="467"/>
      <c r="C27" s="467"/>
      <c r="D27" s="69"/>
      <c r="E27" s="23"/>
      <c r="F27" s="65">
        <f>IF($A27=0,0,VLOOKUP($A27,EQUI!$A$2:$E$38,3,FALSE))</f>
        <v>10000</v>
      </c>
      <c r="G27" s="142">
        <f>+IF($A27=0,0,VLOOKUP($A27,EQUI!$A$2:$E$38,5,FALSE))</f>
        <v>0.1</v>
      </c>
      <c r="H27" s="29">
        <f>F27*G27</f>
        <v>1000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0.18</v>
      </c>
      <c r="H43" s="53">
        <f>F43*G43</f>
        <v>4462.5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0.18</v>
      </c>
      <c r="H44" s="53">
        <f t="shared" ref="H44:H45" si="1">F44*G44</f>
        <v>5250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9712.5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48778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B9892F0D-8F63-466A-A505-1778BB34CB0C}">
          <x14:formula1>
            <xm:f>LIST!$B$3:$B$85</xm:f>
          </x14:formula1>
          <xm:sqref>D10:H11</xm:sqref>
        </x14:dataValidation>
        <x14:dataValidation type="list" showInputMessage="1" showErrorMessage="1" xr:uid="{EDF971B3-158C-4ECB-B4D8-E6BD1A7D7E4B}">
          <x14:formula1>
            <xm:f>TRANS!$A$2:$A$20</xm:f>
          </x14:formula1>
          <xm:sqref>A35:C35</xm:sqref>
        </x14:dataValidation>
        <x14:dataValidation type="list" allowBlank="1" showInputMessage="1" showErrorMessage="1" xr:uid="{E43AE84C-F419-4FFE-9571-BA01A6EC7CE3}">
          <x14:formula1>
            <xm:f>EQUI!$A$2:$A$38</xm:f>
          </x14:formula1>
          <xm:sqref>A27:C28</xm:sqref>
        </x14:dataValidation>
        <x14:dataValidation type="list" showInputMessage="1" showErrorMessage="1" xr:uid="{021669C9-36BE-44C2-9DA0-19D184C157E3}">
          <x14:formula1>
            <xm:f>INS!$A$2:$A$89</xm:f>
          </x14:formula1>
          <xm:sqref>A15:D20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D77A3-316D-4F18-9B0E-6E9E89BA4748}">
  <dimension ref="A1:J56"/>
  <sheetViews>
    <sheetView topLeftCell="A7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0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10" ht="15" thickTop="1">
      <c r="A2" s="20"/>
      <c r="B2" s="21"/>
      <c r="C2" s="21"/>
      <c r="D2" s="21"/>
      <c r="E2" s="21"/>
      <c r="F2" s="21"/>
      <c r="G2" s="21"/>
      <c r="H2" s="22"/>
    </row>
    <row r="3" spans="1:10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10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10" ht="25.5" customHeight="1">
      <c r="A5" s="20"/>
      <c r="B5" s="21"/>
      <c r="C5" s="21"/>
      <c r="D5" s="21"/>
      <c r="E5" s="21"/>
      <c r="F5" s="21"/>
      <c r="G5" s="21"/>
      <c r="H5" s="22"/>
    </row>
    <row r="6" spans="1:10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10" ht="24.75" customHeight="1">
      <c r="A7" s="486"/>
      <c r="B7" s="487"/>
      <c r="C7" s="487"/>
      <c r="D7" s="487"/>
      <c r="E7" s="487"/>
      <c r="F7" s="487"/>
      <c r="G7" s="487"/>
      <c r="H7" s="487"/>
    </row>
    <row r="8" spans="1:10">
      <c r="A8" s="20"/>
      <c r="B8" s="21"/>
      <c r="C8" s="21"/>
      <c r="D8" s="21"/>
      <c r="E8" s="21"/>
      <c r="F8" s="21"/>
      <c r="G8" s="21"/>
      <c r="H8" s="22"/>
    </row>
    <row r="9" spans="1:10">
      <c r="A9" s="459" t="s">
        <v>3</v>
      </c>
      <c r="B9" s="459"/>
      <c r="C9" s="459"/>
      <c r="D9" s="23">
        <f>+_xlfn.XLOOKUP(D10,PTO!$D$4:$D$27,PTO!$C$4:$C$27)</f>
        <v>3.0299999999999994</v>
      </c>
      <c r="E9" s="24" t="s">
        <v>28</v>
      </c>
      <c r="F9" s="23" t="str">
        <f>+_xlfn.XLOOKUP($D$10,LIST[DESCRIPCIÓN],LIST[UNIDAD])</f>
        <v>M</v>
      </c>
      <c r="G9" s="24" t="s">
        <v>22</v>
      </c>
      <c r="H9" s="25">
        <v>1</v>
      </c>
    </row>
    <row r="10" spans="1:10">
      <c r="A10" s="476" t="s">
        <v>4</v>
      </c>
      <c r="B10" s="476"/>
      <c r="C10" s="476"/>
      <c r="D10" s="477" t="s">
        <v>506</v>
      </c>
      <c r="E10" s="477"/>
      <c r="F10" s="477"/>
      <c r="G10" s="477"/>
      <c r="H10" s="477"/>
    </row>
    <row r="11" spans="1:10">
      <c r="A11" s="476"/>
      <c r="B11" s="476"/>
      <c r="C11" s="476"/>
      <c r="D11" s="477"/>
      <c r="E11" s="477"/>
      <c r="F11" s="477"/>
      <c r="G11" s="477"/>
      <c r="H11" s="477"/>
    </row>
    <row r="12" spans="1:10">
      <c r="A12" s="20"/>
      <c r="B12" s="21"/>
      <c r="C12" s="21"/>
      <c r="D12" s="21"/>
      <c r="E12" s="21"/>
      <c r="F12" s="21"/>
      <c r="G12" s="21"/>
      <c r="H12" s="22"/>
    </row>
    <row r="13" spans="1:10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10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10" ht="14.4" customHeight="1">
      <c r="A15" s="478" t="s">
        <v>510</v>
      </c>
      <c r="B15" s="479"/>
      <c r="C15" s="479"/>
      <c r="D15" s="480"/>
      <c r="E15" s="410" t="str">
        <f>IF($A15=0,0,VLOOKUP($A15,INS!$A$2:$E$106,2,FALSE))</f>
        <v>UND</v>
      </c>
      <c r="F15" s="142">
        <v>0.5</v>
      </c>
      <c r="G15" s="410">
        <f>IF($A15=0,0,VLOOKUP($A15,INS!$A$2:$G$106,6,FALSE))</f>
        <v>30000</v>
      </c>
      <c r="H15" s="29">
        <f t="shared" ref="H15:H20" si="0">+F15*G15</f>
        <v>15000</v>
      </c>
      <c r="J15" s="398"/>
    </row>
    <row r="16" spans="1:10">
      <c r="A16" s="473" t="s">
        <v>471</v>
      </c>
      <c r="B16" s="474"/>
      <c r="C16" s="474"/>
      <c r="D16" s="475"/>
      <c r="E16" s="411" t="str">
        <f>IF($A16=0,0,VLOOKUP($A16,INS!$A$2:$E$106,2,FALSE))</f>
        <v>UND</v>
      </c>
      <c r="F16" s="142">
        <v>0.2</v>
      </c>
      <c r="G16" s="410">
        <f>IF($A16=0,0,VLOOKUP($A16,INS!$A$2:$G$106,6,FALSE))</f>
        <v>24000</v>
      </c>
      <c r="H16" s="29">
        <f t="shared" si="0"/>
        <v>4800</v>
      </c>
    </row>
    <row r="17" spans="1:8" ht="17.399999999999999" customHeight="1">
      <c r="A17" s="478"/>
      <c r="B17" s="479"/>
      <c r="C17" s="479"/>
      <c r="D17" s="480"/>
      <c r="E17" s="411">
        <f>IF($A17=0,0,VLOOKUP($A17,INS!$A$2:$E$106,2,FALSE))</f>
        <v>0</v>
      </c>
      <c r="F17" s="142"/>
      <c r="G17" s="410">
        <f>IF($A17=0,0,VLOOKUP($A17,INS!$A$2:$G$106,6,FALSE))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11812.5</v>
      </c>
      <c r="H22" s="29">
        <f>F22*G22</f>
        <v>590.625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20390.625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491</v>
      </c>
      <c r="B27" s="467"/>
      <c r="C27" s="467"/>
      <c r="D27" s="69"/>
      <c r="E27" s="23"/>
      <c r="F27" s="65">
        <f>IF($A27=0,0,VLOOKUP($A27,EQUI!$A$2:$E$38,3,FALSE))</f>
        <v>10000</v>
      </c>
      <c r="G27" s="142">
        <f>+IF($A27=0,0,VLOOKUP($A27,EQUI!$A$2:$E$38,5,FALSE))</f>
        <v>0.1</v>
      </c>
      <c r="H27" s="29">
        <f>F27*G27</f>
        <v>1000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53">
        <f>F43*G43</f>
        <v>7437.5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53">
        <f t="shared" ref="H44:H45" si="1">F44*G44</f>
        <v>4375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11812.5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33203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B37FA39E-36C4-4234-A7B6-52733A1DC105}">
          <x14:formula1>
            <xm:f>INS!$A$2:$A$89</xm:f>
          </x14:formula1>
          <xm:sqref>A15:D20</xm:sqref>
        </x14:dataValidation>
        <x14:dataValidation type="list" allowBlank="1" showInputMessage="1" showErrorMessage="1" xr:uid="{AF25F58E-ABA5-47AB-A124-47CA59DFA813}">
          <x14:formula1>
            <xm:f>EQUI!$A$2:$A$38</xm:f>
          </x14:formula1>
          <xm:sqref>A27:C28</xm:sqref>
        </x14:dataValidation>
        <x14:dataValidation type="list" showInputMessage="1" showErrorMessage="1" xr:uid="{85DD6C75-E4AF-451F-B96E-97F6DFDF9119}">
          <x14:formula1>
            <xm:f>TRANS!$A$2:$A$20</xm:f>
          </x14:formula1>
          <xm:sqref>A35:C35</xm:sqref>
        </x14:dataValidation>
        <x14:dataValidation type="list" showInputMessage="1" showErrorMessage="1" xr:uid="{AA774858-8A59-4E83-A9D8-991EAE33150B}">
          <x14:formula1>
            <xm:f>LIST!$B$3:$B$85</xm:f>
          </x14:formula1>
          <xm:sqref>D10:H11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1EE47-EE7F-4753-8D13-B65C39D229CD}">
  <dimension ref="A1:J56"/>
  <sheetViews>
    <sheetView topLeftCell="A33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0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10" ht="15" thickTop="1">
      <c r="A2" s="20"/>
      <c r="B2" s="21"/>
      <c r="C2" s="21"/>
      <c r="D2" s="21"/>
      <c r="E2" s="21"/>
      <c r="F2" s="21"/>
      <c r="G2" s="21"/>
      <c r="H2" s="22"/>
    </row>
    <row r="3" spans="1:10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10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10" ht="25.5" customHeight="1">
      <c r="A5" s="20"/>
      <c r="B5" s="21"/>
      <c r="C5" s="21"/>
      <c r="D5" s="21"/>
      <c r="E5" s="21"/>
      <c r="F5" s="21"/>
      <c r="G5" s="21"/>
      <c r="H5" s="22"/>
    </row>
    <row r="6" spans="1:10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10" ht="24.75" customHeight="1">
      <c r="A7" s="486"/>
      <c r="B7" s="487"/>
      <c r="C7" s="487"/>
      <c r="D7" s="487"/>
      <c r="E7" s="487"/>
      <c r="F7" s="487"/>
      <c r="G7" s="487"/>
      <c r="H7" s="487"/>
    </row>
    <row r="8" spans="1:10">
      <c r="A8" s="20"/>
      <c r="B8" s="21"/>
      <c r="C8" s="21"/>
      <c r="D8" s="21"/>
      <c r="E8" s="21"/>
      <c r="F8" s="21"/>
      <c r="G8" s="21"/>
      <c r="H8" s="22"/>
    </row>
    <row r="9" spans="1:10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+_xlfn.XLOOKUP($D$10,LIST[DESCRIPCIÓN],LIST[UNIDAD])</f>
        <v>M2</v>
      </c>
      <c r="G9" s="24" t="s">
        <v>22</v>
      </c>
      <c r="H9" s="25">
        <v>1</v>
      </c>
    </row>
    <row r="10" spans="1:10">
      <c r="A10" s="476" t="s">
        <v>4</v>
      </c>
      <c r="B10" s="476"/>
      <c r="C10" s="476"/>
      <c r="D10" s="477" t="s">
        <v>477</v>
      </c>
      <c r="E10" s="477"/>
      <c r="F10" s="477"/>
      <c r="G10" s="477"/>
      <c r="H10" s="477"/>
    </row>
    <row r="11" spans="1:10">
      <c r="A11" s="476"/>
      <c r="B11" s="476"/>
      <c r="C11" s="476"/>
      <c r="D11" s="477"/>
      <c r="E11" s="477"/>
      <c r="F11" s="477"/>
      <c r="G11" s="477"/>
      <c r="H11" s="477"/>
    </row>
    <row r="12" spans="1:10">
      <c r="A12" s="20"/>
      <c r="B12" s="21"/>
      <c r="C12" s="21"/>
      <c r="D12" s="21"/>
      <c r="E12" s="21"/>
      <c r="F12" s="21"/>
      <c r="G12" s="21"/>
      <c r="H12" s="22"/>
    </row>
    <row r="13" spans="1:10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10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10" ht="14.4" customHeight="1">
      <c r="A15" s="478" t="s">
        <v>477</v>
      </c>
      <c r="B15" s="479"/>
      <c r="C15" s="479"/>
      <c r="D15" s="480"/>
      <c r="E15" s="410" t="str">
        <f>IF($A15=0,0,VLOOKUP($A15,INS!$A$2:$E$106,2,FALSE))</f>
        <v>M2</v>
      </c>
      <c r="F15" s="142">
        <v>1</v>
      </c>
      <c r="G15" s="410">
        <f>IF($A15=0,0,VLOOKUP($A15,INS!$A$2:$G$106,6,FALSE))</f>
        <v>32000</v>
      </c>
      <c r="H15" s="29">
        <f t="shared" ref="H15:H20" si="0">+F15*G15</f>
        <v>32000</v>
      </c>
      <c r="J15" s="398"/>
    </row>
    <row r="16" spans="1:10">
      <c r="A16" s="473" t="s">
        <v>479</v>
      </c>
      <c r="B16" s="474"/>
      <c r="C16" s="474"/>
      <c r="D16" s="475"/>
      <c r="E16" s="411" t="str">
        <f>IF($A16=0,0,VLOOKUP($A16,INS!$A$2:$E$106,2,FALSE))</f>
        <v>UND</v>
      </c>
      <c r="F16" s="142">
        <v>8</v>
      </c>
      <c r="G16" s="410">
        <f>IF($A16=0,0,VLOOKUP($A16,INS!$A$2:$G$106,6,FALSE))</f>
        <v>700</v>
      </c>
      <c r="H16" s="29">
        <f t="shared" si="0"/>
        <v>5600</v>
      </c>
    </row>
    <row r="17" spans="1:8" ht="17.399999999999999" customHeight="1">
      <c r="A17" s="478"/>
      <c r="B17" s="479"/>
      <c r="C17" s="479"/>
      <c r="D17" s="480"/>
      <c r="E17" s="411">
        <f>IF($A17=0,0,VLOOKUP($A17,INS!$A$2:$E$106,2,FALSE))</f>
        <v>0</v>
      </c>
      <c r="F17" s="142"/>
      <c r="G17" s="410">
        <f>IF($A17=0,0,VLOOKUP($A17,INS!$A$2:$G$106,6,FALSE))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25900</v>
      </c>
      <c r="H22" s="29">
        <f>F22*G22</f>
        <v>1295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38895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491</v>
      </c>
      <c r="B27" s="467"/>
      <c r="C27" s="467"/>
      <c r="D27" s="69"/>
      <c r="E27" s="23"/>
      <c r="F27" s="65">
        <f>IF($A27=0,0,VLOOKUP($A27,EQUI!$A$2:$E$38,3,FALSE))</f>
        <v>10000</v>
      </c>
      <c r="G27" s="142">
        <f>+IF($A27=0,0,VLOOKUP($A27,EQUI!$A$2:$E$38,5,FALSE))</f>
        <v>0.1</v>
      </c>
      <c r="H27" s="29">
        <f>F27*G27</f>
        <v>1000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0.48</v>
      </c>
      <c r="H43" s="53">
        <f>F43*G43</f>
        <v>11900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0.48</v>
      </c>
      <c r="H44" s="53">
        <f t="shared" ref="H44:H45" si="1">F44*G44</f>
        <v>14000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25900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65795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1A9C2798-4C8B-4523-9DDF-9305E37341D0}">
          <x14:formula1>
            <xm:f>LIST!$B$3:$B$85</xm:f>
          </x14:formula1>
          <xm:sqref>D10:H11</xm:sqref>
        </x14:dataValidation>
        <x14:dataValidation type="list" showInputMessage="1" showErrorMessage="1" xr:uid="{CBF2184B-D730-490E-8608-A082AD292C1E}">
          <x14:formula1>
            <xm:f>TRANS!$A$2:$A$20</xm:f>
          </x14:formula1>
          <xm:sqref>A35:C35</xm:sqref>
        </x14:dataValidation>
        <x14:dataValidation type="list" allowBlank="1" showInputMessage="1" showErrorMessage="1" xr:uid="{2D7E3992-2D00-44BB-9FBA-E8B14B404FB0}">
          <x14:formula1>
            <xm:f>EQUI!$A$2:$A$38</xm:f>
          </x14:formula1>
          <xm:sqref>A27:C28</xm:sqref>
        </x14:dataValidation>
        <x14:dataValidation type="list" showInputMessage="1" showErrorMessage="1" xr:uid="{91543603-AFB4-4ED9-98CC-5D53254EB0DC}">
          <x14:formula1>
            <xm:f>INS!$A$2:$A$89</xm:f>
          </x14:formula1>
          <xm:sqref>A15:D20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A0B13-6451-4BDD-A1FC-C2DA29A757E3}">
  <dimension ref="A1:J56"/>
  <sheetViews>
    <sheetView topLeftCell="A7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0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10" ht="15" thickTop="1">
      <c r="A2" s="20"/>
      <c r="B2" s="21"/>
      <c r="C2" s="21"/>
      <c r="D2" s="21"/>
      <c r="E2" s="21"/>
      <c r="F2" s="21"/>
      <c r="G2" s="21"/>
      <c r="H2" s="22"/>
    </row>
    <row r="3" spans="1:10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10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10" ht="25.5" customHeight="1">
      <c r="A5" s="20"/>
      <c r="B5" s="21"/>
      <c r="C5" s="21"/>
      <c r="D5" s="21"/>
      <c r="E5" s="21"/>
      <c r="F5" s="21"/>
      <c r="G5" s="21"/>
      <c r="H5" s="22"/>
    </row>
    <row r="6" spans="1:10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10" ht="24.75" customHeight="1">
      <c r="A7" s="486"/>
      <c r="B7" s="487"/>
      <c r="C7" s="487"/>
      <c r="D7" s="487"/>
      <c r="E7" s="487"/>
      <c r="F7" s="487"/>
      <c r="G7" s="487"/>
      <c r="H7" s="487"/>
    </row>
    <row r="8" spans="1:10">
      <c r="A8" s="20"/>
      <c r="B8" s="21"/>
      <c r="C8" s="21"/>
      <c r="D8" s="21"/>
      <c r="E8" s="21"/>
      <c r="F8" s="21"/>
      <c r="G8" s="21"/>
      <c r="H8" s="22"/>
    </row>
    <row r="9" spans="1:10">
      <c r="A9" s="459" t="s">
        <v>3</v>
      </c>
      <c r="B9" s="459"/>
      <c r="C9" s="459"/>
      <c r="D9" s="23">
        <f>+_xlfn.XLOOKUP(D10,PTO!$D$4:$D$27,PTO!$C$4:$C$27)</f>
        <v>3.0199999999999996</v>
      </c>
      <c r="E9" s="24" t="s">
        <v>28</v>
      </c>
      <c r="F9" s="23" t="str">
        <f>+_xlfn.XLOOKUP($D$10,LIST[DESCRIPCIÓN],LIST[UNIDAD])</f>
        <v>M</v>
      </c>
      <c r="G9" s="24" t="s">
        <v>22</v>
      </c>
      <c r="H9" s="25">
        <v>1</v>
      </c>
    </row>
    <row r="10" spans="1:10">
      <c r="A10" s="476" t="s">
        <v>4</v>
      </c>
      <c r="B10" s="476"/>
      <c r="C10" s="476"/>
      <c r="D10" s="477" t="s">
        <v>439</v>
      </c>
      <c r="E10" s="477"/>
      <c r="F10" s="477"/>
      <c r="G10" s="477"/>
      <c r="H10" s="477"/>
    </row>
    <row r="11" spans="1:10">
      <c r="A11" s="476"/>
      <c r="B11" s="476"/>
      <c r="C11" s="476"/>
      <c r="D11" s="477"/>
      <c r="E11" s="477"/>
      <c r="F11" s="477"/>
      <c r="G11" s="477"/>
      <c r="H11" s="477"/>
    </row>
    <row r="12" spans="1:10">
      <c r="A12" s="20"/>
      <c r="B12" s="21"/>
      <c r="C12" s="21"/>
      <c r="D12" s="21"/>
      <c r="E12" s="21"/>
      <c r="F12" s="21"/>
      <c r="G12" s="21"/>
      <c r="H12" s="22"/>
    </row>
    <row r="13" spans="1:10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10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10">
      <c r="A15" s="478" t="s">
        <v>107</v>
      </c>
      <c r="B15" s="479"/>
      <c r="C15" s="479"/>
      <c r="D15" s="480"/>
      <c r="E15" s="410" t="str">
        <f>IF($A15=0,0,VLOOKUP($A15,INS!$A$2:$E$106,2,FALSE))</f>
        <v>Und</v>
      </c>
      <c r="F15" s="142">
        <v>0.17</v>
      </c>
      <c r="G15" s="410">
        <f>IF($A15=0,0,VLOOKUP($A15,INS!$A$2:$G$106,6,FALSE))</f>
        <v>92250</v>
      </c>
      <c r="H15" s="29">
        <f t="shared" ref="H15:H20" si="0">+F15*G15</f>
        <v>15682.500000000002</v>
      </c>
      <c r="J15" s="398"/>
    </row>
    <row r="16" spans="1:10">
      <c r="A16" s="473" t="s">
        <v>486</v>
      </c>
      <c r="B16" s="474"/>
      <c r="C16" s="474"/>
      <c r="D16" s="475"/>
      <c r="E16" s="411" t="str">
        <f>IF($A16=0,0,VLOOKUP($A16,INS!$A$2:$E$106,2,FALSE))</f>
        <v>Und</v>
      </c>
      <c r="F16" s="142">
        <v>0.3</v>
      </c>
      <c r="G16" s="410">
        <f>IF($A16=0,0,VLOOKUP($A16,INS!$A$2:$G$106,6,FALSE))</f>
        <v>12100</v>
      </c>
      <c r="H16" s="29">
        <f t="shared" si="0"/>
        <v>3630</v>
      </c>
    </row>
    <row r="17" spans="1:8" ht="17.399999999999999" customHeight="1">
      <c r="A17" s="478" t="s">
        <v>489</v>
      </c>
      <c r="B17" s="479"/>
      <c r="C17" s="479"/>
      <c r="D17" s="480"/>
      <c r="E17" s="411" t="str">
        <f>IF($A17=0,0,VLOOKUP($A17,INS!$A$2:$E$106,2,FALSE))</f>
        <v>UND</v>
      </c>
      <c r="F17" s="142">
        <v>0.3</v>
      </c>
      <c r="G17" s="410">
        <f>IF($A17=0,0,VLOOKUP($A17,INS!$A$2:$G$106,6,FALSE))</f>
        <v>7000</v>
      </c>
      <c r="H17" s="29">
        <f t="shared" si="0"/>
        <v>2100</v>
      </c>
    </row>
    <row r="18" spans="1:8">
      <c r="A18" s="473" t="s">
        <v>490</v>
      </c>
      <c r="B18" s="474"/>
      <c r="C18" s="474"/>
      <c r="D18" s="475"/>
      <c r="E18" s="411" t="str">
        <f>IF($A18=0,0,VLOOKUP($A18,INS!$A$2:$E$106,2,FALSE))</f>
        <v>UND</v>
      </c>
      <c r="F18" s="142">
        <v>0.5</v>
      </c>
      <c r="G18" s="410">
        <f>IF($A18=0,0,VLOOKUP($A18,INS!$A$2:$G$106,6,FALSE))</f>
        <v>2000</v>
      </c>
      <c r="H18" s="29">
        <f t="shared" si="0"/>
        <v>1000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19687.5</v>
      </c>
      <c r="H22" s="29">
        <f>F22*G22</f>
        <v>984.375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23396.875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491</v>
      </c>
      <c r="B27" s="467"/>
      <c r="C27" s="467"/>
      <c r="D27" s="69"/>
      <c r="E27" s="23"/>
      <c r="F27" s="65">
        <f>IF($A27=0,0,VLOOKUP($A27,EQUI!$A$2:$E$38,3,FALSE))</f>
        <v>10000</v>
      </c>
      <c r="G27" s="142">
        <f>+IF($A27=0,0,VLOOKUP($A27,EQUI!$A$2:$E$38,5,FALSE))</f>
        <v>0.1</v>
      </c>
      <c r="H27" s="29">
        <f>F27*G27</f>
        <v>1000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53">
        <f>F43*G43</f>
        <v>12395.833333333334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53">
        <f t="shared" ref="H44:H45" si="1">F44*G44</f>
        <v>7291.666666666667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19687.5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44084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80703808-29FA-43E1-975E-1994812B9DCE}">
          <x14:formula1>
            <xm:f>INS!$A$2:$A$89</xm:f>
          </x14:formula1>
          <xm:sqref>A15:D20</xm:sqref>
        </x14:dataValidation>
        <x14:dataValidation type="list" allowBlank="1" showInputMessage="1" showErrorMessage="1" xr:uid="{565972B3-8FA7-4065-9F7B-37540C5DF06D}">
          <x14:formula1>
            <xm:f>EQUI!$A$2:$A$38</xm:f>
          </x14:formula1>
          <xm:sqref>A27:C28</xm:sqref>
        </x14:dataValidation>
        <x14:dataValidation type="list" showInputMessage="1" showErrorMessage="1" xr:uid="{89F61EC0-C24A-42FE-8D98-DFB536E5F376}">
          <x14:formula1>
            <xm:f>TRANS!$A$2:$A$20</xm:f>
          </x14:formula1>
          <xm:sqref>A35:C35</xm:sqref>
        </x14:dataValidation>
        <x14:dataValidation type="list" showInputMessage="1" showErrorMessage="1" xr:uid="{5129F0CE-9537-4863-B859-90C2C287A98D}">
          <x14:formula1>
            <xm:f>LIST!$B$3:$B$85</xm:f>
          </x14:formula1>
          <xm:sqref>D10:H11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FEA51-AD71-4107-87F9-72C688357761}">
  <dimension ref="A1:H56"/>
  <sheetViews>
    <sheetView topLeftCell="A7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3.01</v>
      </c>
      <c r="E9" s="24" t="s">
        <v>28</v>
      </c>
      <c r="F9" s="23" t="str">
        <f>+_xlfn.XLOOKUP($D$10,LIST[DESCRIPCIÓN],LIST[UNIDAD])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411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411</v>
      </c>
      <c r="B15" s="479"/>
      <c r="C15" s="479"/>
      <c r="D15" s="480"/>
      <c r="E15" s="410" t="str">
        <f>IF($A15=0,0,VLOOKUP($A15,INS!$A$2:$E$106,2,FALSE))</f>
        <v>M2</v>
      </c>
      <c r="F15" s="142">
        <v>1</v>
      </c>
      <c r="G15" s="410">
        <f>IF($A15=0,0,VLOOKUP($A15,INS!$A$2:$G$106,6,FALSE))</f>
        <v>25000</v>
      </c>
      <c r="H15" s="29">
        <f t="shared" ref="H15:H20" si="0">+F15*G15</f>
        <v>25000</v>
      </c>
    </row>
    <row r="16" spans="1:8">
      <c r="A16" s="473" t="s">
        <v>479</v>
      </c>
      <c r="B16" s="474"/>
      <c r="C16" s="474"/>
      <c r="D16" s="475"/>
      <c r="E16" s="411" t="str">
        <f>IF($A16=0,0,VLOOKUP($A16,INS!$A$2:$E$106,2,FALSE))</f>
        <v>UND</v>
      </c>
      <c r="F16" s="142">
        <v>8</v>
      </c>
      <c r="G16" s="410">
        <f>IF($A16=0,0,VLOOKUP($A16,INS!$A$2:$G$106,6,FALSE))</f>
        <v>700</v>
      </c>
      <c r="H16" s="29">
        <f t="shared" si="0"/>
        <v>5600</v>
      </c>
    </row>
    <row r="17" spans="1:8" ht="17.399999999999999" customHeight="1">
      <c r="A17" s="478"/>
      <c r="B17" s="479"/>
      <c r="C17" s="479"/>
      <c r="D17" s="480"/>
      <c r="E17" s="411">
        <f>IF($A17=0,0,VLOOKUP($A17,INS!$A$2:$E$106,2,FALSE))</f>
        <v>0</v>
      </c>
      <c r="F17" s="142"/>
      <c r="G17" s="410">
        <f>IF($A17=0,0,VLOOKUP($A17,INS!$A$2:$G$106,6,FALSE))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25900</v>
      </c>
      <c r="H22" s="29">
        <f>F22*G22</f>
        <v>1295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31895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491</v>
      </c>
      <c r="B27" s="467"/>
      <c r="C27" s="467"/>
      <c r="D27" s="69"/>
      <c r="E27" s="23"/>
      <c r="F27" s="65">
        <f>IF($A27=0,0,VLOOKUP($A27,EQUI!$A$2:$E$38,3,FALSE))</f>
        <v>10000</v>
      </c>
      <c r="G27" s="142">
        <f>+IF($A27=0,0,VLOOKUP($A27,EQUI!$A$2:$E$38,5,FALSE))</f>
        <v>0.1</v>
      </c>
      <c r="H27" s="29">
        <f>F27*G27</f>
        <v>1000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0.48</v>
      </c>
      <c r="H43" s="53">
        <f>F43*G43</f>
        <v>11900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0.48</v>
      </c>
      <c r="H44" s="53">
        <f t="shared" ref="H44:H45" si="1">F44*G44</f>
        <v>14000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25900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58795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C614ECC-DDB3-472E-A3B4-40B3A60CC553}">
          <x14:formula1>
            <xm:f>LIST!$B$3:$B$85</xm:f>
          </x14:formula1>
          <xm:sqref>D10:H11</xm:sqref>
        </x14:dataValidation>
        <x14:dataValidation type="list" showInputMessage="1" showErrorMessage="1" xr:uid="{5122CC71-EFFF-4AF8-AA5B-AFBAB4A15063}">
          <x14:formula1>
            <xm:f>TRANS!$A$2:$A$20</xm:f>
          </x14:formula1>
          <xm:sqref>A35:C35</xm:sqref>
        </x14:dataValidation>
        <x14:dataValidation type="list" allowBlank="1" showInputMessage="1" showErrorMessage="1" xr:uid="{70FEDC62-1004-49FD-AE40-D8BD2DE4A984}">
          <x14:formula1>
            <xm:f>EQUI!$A$2:$A$38</xm:f>
          </x14:formula1>
          <xm:sqref>A27:C28</xm:sqref>
        </x14:dataValidation>
        <x14:dataValidation type="list" showInputMessage="1" showErrorMessage="1" xr:uid="{8B5A3252-E3E3-4F71-BAF0-F7EF6609546F}">
          <x14:formula1>
            <xm:f>INS!$A$2:$A$89</xm:f>
          </x14:formula1>
          <xm:sqref>A15:D20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E6697-ACCC-4E74-BA40-4974B9285F74}">
  <dimension ref="A1:H56"/>
  <sheetViews>
    <sheetView topLeftCell="A6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2.0799999999999983</v>
      </c>
      <c r="E9" s="24" t="s">
        <v>28</v>
      </c>
      <c r="F9" s="23" t="str">
        <f>+_xlfn.XLOOKUP($D$10,LIST[DESCRIPCIÓN],LIST[UNIDAD])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441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461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72000</v>
      </c>
      <c r="H15" s="29">
        <f t="shared" ref="H15:H20" si="0">+F15*G15</f>
        <v>72000</v>
      </c>
    </row>
    <row r="16" spans="1:8">
      <c r="A16" s="473"/>
      <c r="B16" s="474"/>
      <c r="C16" s="474"/>
      <c r="D16" s="475"/>
      <c r="E16" s="411">
        <f>IF($A16=0,0,VLOOKUP($A16,INS!$A$2:$E$106,2,FALSE))</f>
        <v>0</v>
      </c>
      <c r="F16" s="142"/>
      <c r="G16" s="410">
        <f>IF($A16=0,0,VLOOKUP($A16,INS!$A$2:$G$106,6,FALSE))</f>
        <v>0</v>
      </c>
      <c r="H16" s="29">
        <f t="shared" si="0"/>
        <v>0</v>
      </c>
    </row>
    <row r="17" spans="1:8" ht="17.399999999999999" customHeight="1">
      <c r="A17" s="478"/>
      <c r="B17" s="479"/>
      <c r="C17" s="479"/>
      <c r="D17" s="480"/>
      <c r="E17" s="411">
        <f>IF($A17=0,0,VLOOKUP($A17,INS!$A$2:$E$106,2,FALSE))</f>
        <v>0</v>
      </c>
      <c r="F17" s="142"/>
      <c r="G17" s="410">
        <f>IF($A17=0,0,VLOOKUP($A17,INS!$A$2:$G$106,6,FALSE))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39375</v>
      </c>
      <c r="H22" s="29">
        <f>F22*G22</f>
        <v>1968.75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73968.75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53">
        <f>F43*G43</f>
        <v>24791.666666666668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53">
        <f t="shared" ref="H44:H45" si="1">F44*G44</f>
        <v>14583.333333333334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39375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113344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195F602-F79C-4ECA-A59F-5C1E6A4E4740}">
          <x14:formula1>
            <xm:f>INS!$A$2:$A$89</xm:f>
          </x14:formula1>
          <xm:sqref>A15:D20</xm:sqref>
        </x14:dataValidation>
        <x14:dataValidation type="list" allowBlank="1" showInputMessage="1" showErrorMessage="1" xr:uid="{B7887B7F-FB2E-462C-9036-BB98A777381C}">
          <x14:formula1>
            <xm:f>EQUI!$A$2:$A$38</xm:f>
          </x14:formula1>
          <xm:sqref>A27:C28</xm:sqref>
        </x14:dataValidation>
        <x14:dataValidation type="list" showInputMessage="1" showErrorMessage="1" xr:uid="{790E8F35-210C-42F8-AEB6-E41215F9C5B4}">
          <x14:formula1>
            <xm:f>TRANS!$A$2:$A$20</xm:f>
          </x14:formula1>
          <xm:sqref>A35:C35</xm:sqref>
        </x14:dataValidation>
        <x14:dataValidation type="list" showInputMessage="1" showErrorMessage="1" xr:uid="{176214F7-D5CA-4E20-9CA4-FA15FD0A090A}">
          <x14:formula1>
            <xm:f>LIST!$B$3:$B$85</xm:f>
          </x14:formula1>
          <xm:sqref>D10:H11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29353-5D26-4D58-B755-96736D7A1371}">
  <dimension ref="A1:H56"/>
  <sheetViews>
    <sheetView topLeftCell="A6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2.0699999999999985</v>
      </c>
      <c r="E9" s="24" t="s">
        <v>28</v>
      </c>
      <c r="F9" s="23" t="str">
        <f>+_xlfn.XLOOKUP($D$10,LIST[DESCRIPCIÓN],LIST[UNIDAD])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447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475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170000</v>
      </c>
      <c r="H15" s="29">
        <f t="shared" ref="H15:H20" si="0">+F15*G15</f>
        <v>170000</v>
      </c>
    </row>
    <row r="16" spans="1:8">
      <c r="A16" s="473" t="s">
        <v>476</v>
      </c>
      <c r="B16" s="474"/>
      <c r="C16" s="474"/>
      <c r="D16" s="475"/>
      <c r="E16" s="411" t="str">
        <f>IF($A16=0,0,VLOOKUP($A16,INS!$A$2:$E$106,2,FALSE))</f>
        <v>UND</v>
      </c>
      <c r="F16" s="142">
        <v>0.2</v>
      </c>
      <c r="G16" s="410">
        <f>IF($A16=0,0,VLOOKUP($A16,INS!$A$2:$G$106,6,FALSE))</f>
        <v>4500</v>
      </c>
      <c r="H16" s="29">
        <f t="shared" si="0"/>
        <v>900</v>
      </c>
    </row>
    <row r="17" spans="1:8" ht="17.399999999999999" customHeight="1">
      <c r="A17" s="478"/>
      <c r="B17" s="479"/>
      <c r="C17" s="479"/>
      <c r="D17" s="480"/>
      <c r="E17" s="411">
        <f>IF($A17=0,0,VLOOKUP($A17,INS!$A$2:$E$106,2,FALSE))</f>
        <v>0</v>
      </c>
      <c r="F17" s="142"/>
      <c r="G17" s="410">
        <f>IF($A17=0,0,VLOOKUP($A17,INS!$A$2:$G$106,6,FALSE))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31500.000000000004</v>
      </c>
      <c r="H22" s="29">
        <f>F22*G22</f>
        <v>1575.0000000000002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172475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3" s="53">
        <f>F43*G43</f>
        <v>19833.333333333336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4" s="53">
        <f t="shared" ref="H44:H45" si="1">F44*G44</f>
        <v>11666.666666666668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31500.000000000004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203975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F74AD499-F9EB-40F6-9C80-81BDC9641D32}">
          <x14:formula1>
            <xm:f>LIST!$B$3:$B$85</xm:f>
          </x14:formula1>
          <xm:sqref>D10:H11</xm:sqref>
        </x14:dataValidation>
        <x14:dataValidation type="list" showInputMessage="1" showErrorMessage="1" xr:uid="{35396E0F-2D67-4CF7-993F-57F15FA5ABD7}">
          <x14:formula1>
            <xm:f>TRANS!$A$2:$A$20</xm:f>
          </x14:formula1>
          <xm:sqref>A35:C35</xm:sqref>
        </x14:dataValidation>
        <x14:dataValidation type="list" allowBlank="1" showInputMessage="1" showErrorMessage="1" xr:uid="{8F9B5FCF-EFDA-4ED7-BF82-8DD7C6FFBC0B}">
          <x14:formula1>
            <xm:f>EQUI!$A$2:$A$38</xm:f>
          </x14:formula1>
          <xm:sqref>A27:C28</xm:sqref>
        </x14:dataValidation>
        <x14:dataValidation type="list" showInputMessage="1" showErrorMessage="1" xr:uid="{6888DA3C-5F72-4646-9A0B-5DA90B816634}">
          <x14:formula1>
            <xm:f>INS!$A$2:$A$89</xm:f>
          </x14:formula1>
          <xm:sqref>A15:D20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280DA-8AA1-4E7F-A63F-2F7636BF6DCA}">
  <dimension ref="A1:H56"/>
  <sheetViews>
    <sheetView topLeftCell="A5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2.0599999999999987</v>
      </c>
      <c r="E9" s="24" t="s">
        <v>28</v>
      </c>
      <c r="F9" s="23" t="str">
        <f>+_xlfn.XLOOKUP($D$10,LIST[DESCRIPCIÓN],LIST[UNIDAD])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422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72</v>
      </c>
      <c r="B15" s="479"/>
      <c r="C15" s="479"/>
      <c r="D15" s="480"/>
      <c r="E15" s="410" t="str">
        <f>IF($A15=0,0,VLOOKUP($A15,INS!$A$2:$E$106,2,FALSE))</f>
        <v>BLT</v>
      </c>
      <c r="F15" s="142">
        <f>0.1*7</f>
        <v>0.70000000000000007</v>
      </c>
      <c r="G15" s="410">
        <f>IF($A15=0,0,VLOOKUP($A15,INS!$A$2:$G$106,6,FALSE))</f>
        <v>37000</v>
      </c>
      <c r="H15" s="29">
        <f t="shared" ref="H15:H20" si="0">+F15*G15</f>
        <v>25900.000000000004</v>
      </c>
    </row>
    <row r="16" spans="1:8">
      <c r="A16" s="473" t="s">
        <v>100</v>
      </c>
      <c r="B16" s="474"/>
      <c r="C16" s="474"/>
      <c r="D16" s="475"/>
      <c r="E16" s="412" t="str">
        <f>IF($A16=0,0,VLOOKUP($A16,INS!$A$2:$E$106,2,FALSE))</f>
        <v>M3</v>
      </c>
      <c r="F16" s="142">
        <f>0.1*0.75</f>
        <v>7.5000000000000011E-2</v>
      </c>
      <c r="G16" s="410">
        <f>IF($A16=0,0,VLOOKUP($A16,INS!$A$2:$G$106,6,FALSE))</f>
        <v>69187</v>
      </c>
      <c r="H16" s="29">
        <f t="shared" si="0"/>
        <v>5189.0250000000005</v>
      </c>
    </row>
    <row r="17" spans="1:8" ht="17.399999999999999" customHeight="1">
      <c r="A17" s="478" t="s">
        <v>65</v>
      </c>
      <c r="B17" s="479"/>
      <c r="C17" s="479"/>
      <c r="D17" s="480"/>
      <c r="E17" s="411" t="str">
        <f>IF($A17=0,0,VLOOKUP($A17,INS!$A$2:$E$106,2,FALSE))</f>
        <v>M3</v>
      </c>
      <c r="F17" s="142">
        <f>0.1*0.55</f>
        <v>5.5000000000000007E-2</v>
      </c>
      <c r="G17" s="410">
        <f>IF($A17=0,0,VLOOKUP($A17,INS!$A$2:$G$106,6,FALSE))</f>
        <v>71813</v>
      </c>
      <c r="H17" s="29">
        <f t="shared" si="0"/>
        <v>3949.7150000000006</v>
      </c>
    </row>
    <row r="18" spans="1:8">
      <c r="A18" s="473" t="s">
        <v>103</v>
      </c>
      <c r="B18" s="474"/>
      <c r="C18" s="474"/>
      <c r="D18" s="475"/>
      <c r="E18" s="411" t="str">
        <f>IF($A18=0,0,VLOOKUP($A18,INS!$A$2:$E$106,2,FALSE))</f>
        <v>KG</v>
      </c>
      <c r="F18" s="142">
        <f>+(8*0.56)</f>
        <v>4.4800000000000004</v>
      </c>
      <c r="G18" s="410">
        <f>IF($A18=0,0,VLOOKUP($A18,INS!$A$2:$G$106,6,FALSE))</f>
        <v>5300</v>
      </c>
      <c r="H18" s="29">
        <f t="shared" si="0"/>
        <v>23744.000000000004</v>
      </c>
    </row>
    <row r="19" spans="1:8">
      <c r="A19" s="473" t="s">
        <v>474</v>
      </c>
      <c r="B19" s="474"/>
      <c r="C19" s="474"/>
      <c r="D19" s="475"/>
      <c r="E19" s="411" t="str">
        <f>IF($A19=0,0,VLOOKUP($A19,INS!$A$2:$E$106,2,FALSE))</f>
        <v>UND</v>
      </c>
      <c r="F19" s="142">
        <v>1.3</v>
      </c>
      <c r="G19" s="410">
        <f>IF($A19=0,0,VLOOKUP($A19,INS!$A$2:$G$106,6,FALSE))</f>
        <v>65000</v>
      </c>
      <c r="H19" s="29">
        <f t="shared" si="0"/>
        <v>84500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157500</v>
      </c>
      <c r="H22" s="29">
        <f>F22*G22</f>
        <v>7875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151157.74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338</v>
      </c>
      <c r="B27" s="467"/>
      <c r="C27" s="467"/>
      <c r="D27" s="69"/>
      <c r="E27" s="23"/>
      <c r="F27" s="65">
        <f>IF($A27=0,0,VLOOKUP($A27,EQUI!$A$2:$E$6,3,FALSE))</f>
        <v>10000</v>
      </c>
      <c r="G27" s="142">
        <f>+IF($A27=0,0,VLOOKUP($A27,EQUI!$A$2:$E$6,5,FALSE))</f>
        <v>2.5</v>
      </c>
      <c r="H27" s="29">
        <f>F27*G27</f>
        <v>25000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25000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324</v>
      </c>
      <c r="B35" s="471"/>
      <c r="C35" s="471"/>
      <c r="D35" s="146">
        <f>IF($A$35=0,0,VLOOKUP($A$35,TRANS!$A$2:$F$38,5,FALSE))</f>
        <v>1.1000000000000001</v>
      </c>
      <c r="E35" s="46">
        <f>IF($A$35=0,0,VLOOKUP($A$35,TRANS!$A$2:$D$39,3,FALSE))</f>
        <v>125</v>
      </c>
      <c r="F35" s="169">
        <f>+F16+F17</f>
        <v>0.13</v>
      </c>
      <c r="G35" s="145">
        <f>IF($A$35=0,0,VLOOKUP($A$35,TRANS!$A$2:$D$38,4,FALSE))</f>
        <v>1800</v>
      </c>
      <c r="H35" s="29">
        <f>+E35*F35*G35*D35</f>
        <v>32175.000000000004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32175.000000000004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</v>
      </c>
      <c r="H43" s="53">
        <f>F43*G43</f>
        <v>99166.666666666672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</v>
      </c>
      <c r="H44" s="53">
        <f t="shared" ref="H44:H45" si="1">F44*G44</f>
        <v>58333.333333333336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157500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365833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70413E9B-EB3F-420C-B468-A67C348A8193}">
          <x14:formula1>
            <xm:f>INS!$A$2:$A$89</xm:f>
          </x14:formula1>
          <xm:sqref>A15:D20</xm:sqref>
        </x14:dataValidation>
        <x14:dataValidation type="list" allowBlank="1" showInputMessage="1" showErrorMessage="1" xr:uid="{FFA9176C-BFA1-4666-9FA5-DAC929E33432}">
          <x14:formula1>
            <xm:f>EQUI!$A$2:$A$38</xm:f>
          </x14:formula1>
          <xm:sqref>A27:C28</xm:sqref>
        </x14:dataValidation>
        <x14:dataValidation type="list" showInputMessage="1" showErrorMessage="1" xr:uid="{6C465105-0D8D-4F6A-9A1A-F3E804723D8E}">
          <x14:formula1>
            <xm:f>TRANS!$A$2:$A$20</xm:f>
          </x14:formula1>
          <xm:sqref>A35:C35</xm:sqref>
        </x14:dataValidation>
        <x14:dataValidation type="list" showInputMessage="1" showErrorMessage="1" xr:uid="{ED75F6AF-A101-4EF7-A9D0-7E657C6D9D54}">
          <x14:formula1>
            <xm:f>LIST!$B$3:$B$85</xm:f>
          </x14:formula1>
          <xm:sqref>D10:H11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F095B-358D-4C2A-A8F7-3E27A77C8F41}">
  <dimension ref="A1:H56"/>
  <sheetViews>
    <sheetView topLeftCell="A27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2.0499999999999989</v>
      </c>
      <c r="E9" s="24" t="s">
        <v>28</v>
      </c>
      <c r="F9" s="23" t="str">
        <f>+_xlfn.XLOOKUP($D$10,LIST[DESCRIPCIÓN],LIST[UNIDAD])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443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472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24000</v>
      </c>
      <c r="H15" s="29">
        <f t="shared" ref="H15:H20" si="0">+F15*G15</f>
        <v>24000</v>
      </c>
    </row>
    <row r="16" spans="1:8">
      <c r="A16" s="473"/>
      <c r="B16" s="474"/>
      <c r="C16" s="474"/>
      <c r="D16" s="475"/>
      <c r="E16" s="412">
        <f>IF($A16=0,0,VLOOKUP($A16,INS!$A$2:$E$106,2,FALSE))</f>
        <v>0</v>
      </c>
      <c r="F16" s="142"/>
      <c r="G16" s="410">
        <f>IF($A16=0,0,VLOOKUP($A16,INS!$A$2:$G$106,6,FALSE))</f>
        <v>0</v>
      </c>
      <c r="H16" s="29">
        <f t="shared" si="0"/>
        <v>0</v>
      </c>
    </row>
    <row r="17" spans="1:8" ht="17.399999999999999" customHeight="1">
      <c r="A17" s="478"/>
      <c r="B17" s="479"/>
      <c r="C17" s="479"/>
      <c r="D17" s="480"/>
      <c r="E17" s="411">
        <f>IF($A17=0,0,VLOOKUP($A17,INS!$A$2:$E$106,2,FALSE))</f>
        <v>0</v>
      </c>
      <c r="F17" s="142"/>
      <c r="G17" s="410">
        <f>IF($A17=0,0,VLOOKUP($A17,INS!$A$2:$G$106,6,FALSE))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118125</v>
      </c>
      <c r="H22" s="29">
        <f>F22*G22</f>
        <v>5906.25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29906.25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473</v>
      </c>
      <c r="B27" s="467"/>
      <c r="C27" s="467"/>
      <c r="D27" s="69"/>
      <c r="E27" s="23"/>
      <c r="F27" s="65">
        <f>IF($A27=0,0,VLOOKUP($A27,EQUI!$A$2:$E$6,3,FALSE))</f>
        <v>5000</v>
      </c>
      <c r="G27" s="142">
        <f>+IF($A27=0,0,VLOOKUP($A27,EQUI!$A$2:$E$6,5,FALSE))</f>
        <v>2</v>
      </c>
      <c r="H27" s="29">
        <f>F27*G27</f>
        <v>10000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>
        <f>+F16+F17</f>
        <v>0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3" s="53">
        <f>F43*G43</f>
        <v>74375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4" s="53">
        <f t="shared" ref="H44:H45" si="1">F44*G44</f>
        <v>43750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118125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158031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817806D7-98B2-4FE3-8B66-6287F31186D4}">
          <x14:formula1>
            <xm:f>LIST!$B$3:$B$85</xm:f>
          </x14:formula1>
          <xm:sqref>D10:H11</xm:sqref>
        </x14:dataValidation>
        <x14:dataValidation type="list" showInputMessage="1" showErrorMessage="1" xr:uid="{A17B05FA-E20D-44C9-8905-8AE4B2182367}">
          <x14:formula1>
            <xm:f>TRANS!$A$2:$A$20</xm:f>
          </x14:formula1>
          <xm:sqref>A35:C35</xm:sqref>
        </x14:dataValidation>
        <x14:dataValidation type="list" allowBlank="1" showInputMessage="1" showErrorMessage="1" xr:uid="{4B06BD6A-AD26-42A2-9288-3001EA3B8F4F}">
          <x14:formula1>
            <xm:f>EQUI!$A$2:$A$38</xm:f>
          </x14:formula1>
          <xm:sqref>A27:C28</xm:sqref>
        </x14:dataValidation>
        <x14:dataValidation type="list" showInputMessage="1" showErrorMessage="1" xr:uid="{51C020E6-D2E2-4323-826F-A52A80E6988F}">
          <x14:formula1>
            <xm:f>INS!$A$2:$A$89</xm:f>
          </x14:formula1>
          <xm:sqref>A15:D20</xm:sqref>
        </x14:dataValidation>
      </x14:dataValidation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311D9-CBCF-40E3-93AA-4EF0A2371D4A}">
  <dimension ref="A1:H56"/>
  <sheetViews>
    <sheetView topLeftCell="A4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2.0399999999999991</v>
      </c>
      <c r="E9" s="24" t="s">
        <v>28</v>
      </c>
      <c r="F9" s="23" t="str">
        <f>+_xlfn.XLOOKUP($D$10,LIST[DESCRIPCIÓN],LIST[UNIDAD])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409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469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28000</v>
      </c>
      <c r="H15" s="29">
        <f t="shared" ref="H15:H20" si="0">+F15*G15</f>
        <v>28000</v>
      </c>
    </row>
    <row r="16" spans="1:8">
      <c r="A16" s="473" t="s">
        <v>471</v>
      </c>
      <c r="B16" s="474"/>
      <c r="C16" s="474"/>
      <c r="D16" s="475"/>
      <c r="E16" s="410" t="str">
        <f>IF($A16=0,0,VLOOKUP($A16,INS!$A$2:$E$106,2,FALSE))</f>
        <v>UND</v>
      </c>
      <c r="F16" s="142">
        <v>0.4</v>
      </c>
      <c r="G16" s="410">
        <f>IF($A16=0,0,VLOOKUP($A16,INS!$A$2:$G$106,6,FALSE))</f>
        <v>24000</v>
      </c>
      <c r="H16" s="29">
        <f t="shared" si="0"/>
        <v>9600</v>
      </c>
    </row>
    <row r="17" spans="1:8" ht="17.399999999999999" customHeight="1">
      <c r="A17" s="478" t="s">
        <v>476</v>
      </c>
      <c r="B17" s="479"/>
      <c r="C17" s="479"/>
      <c r="D17" s="480"/>
      <c r="E17" s="411" t="str">
        <f>IF($A17=0,0,VLOOKUP($A17,INS!$A$2:$E$106,2,FALSE))</f>
        <v>UND</v>
      </c>
      <c r="F17" s="142">
        <v>0.2</v>
      </c>
      <c r="G17" s="410">
        <f>IF($A17=0,0,VLOOKUP($A17,INS!$A$2:$G$106,6,FALSE))</f>
        <v>4500</v>
      </c>
      <c r="H17" s="29">
        <f t="shared" si="0"/>
        <v>900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39375</v>
      </c>
      <c r="H22" s="29">
        <f>F22*G22</f>
        <v>1968.75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40468.75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53">
        <f>F43*G43</f>
        <v>24791.666666666668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53">
        <f t="shared" ref="H44:H45" si="1">F44*G44</f>
        <v>14583.333333333334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39375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79844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8F606319-9A1D-4F45-B78F-132B170280DF}">
          <x14:formula1>
            <xm:f>LIST!$B$3:$B$85</xm:f>
          </x14:formula1>
          <xm:sqref>D10:H11</xm:sqref>
        </x14:dataValidation>
        <x14:dataValidation type="list" showInputMessage="1" showErrorMessage="1" xr:uid="{F3FD36B7-79AB-49AD-B754-8DB1CF2972C2}">
          <x14:formula1>
            <xm:f>TRANS!$A$2:$A$20</xm:f>
          </x14:formula1>
          <xm:sqref>A35:C35</xm:sqref>
        </x14:dataValidation>
        <x14:dataValidation type="list" allowBlank="1" showInputMessage="1" showErrorMessage="1" xr:uid="{43DB4E0A-CACA-4235-BF28-F51F9BD8C497}">
          <x14:formula1>
            <xm:f>EQUI!$A$2:$A$38</xm:f>
          </x14:formula1>
          <xm:sqref>A27:C28</xm:sqref>
        </x14:dataValidation>
        <x14:dataValidation type="list" showInputMessage="1" showErrorMessage="1" xr:uid="{8CD665F3-AE49-4F73-BAAF-C205C1C28728}">
          <x14:formula1>
            <xm:f>INS!$A$2:$A$89</xm:f>
          </x14:formula1>
          <xm:sqref>A15:D20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40AA5-1293-49DB-B227-5B4672B29754}">
  <dimension ref="A1:H56"/>
  <sheetViews>
    <sheetView topLeftCell="A4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2.0299999999999994</v>
      </c>
      <c r="E9" s="24" t="s">
        <v>28</v>
      </c>
      <c r="F9" s="23" t="str">
        <f>+_xlfn.XLOOKUP($D$10,LIST[DESCRIPCIÓN],LIST[UNIDAD])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408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470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160000</v>
      </c>
      <c r="H15" s="29">
        <f t="shared" ref="H15:H20" si="0">+F15*G15</f>
        <v>160000</v>
      </c>
    </row>
    <row r="16" spans="1:8">
      <c r="A16" s="473" t="s">
        <v>462</v>
      </c>
      <c r="B16" s="474"/>
      <c r="C16" s="474"/>
      <c r="D16" s="475"/>
      <c r="E16" s="410" t="str">
        <f>IF($A16=0,0,VLOOKUP($A16,INS!$A$2:$E$106,2,FALSE))</f>
        <v>UND</v>
      </c>
      <c r="F16" s="142">
        <v>1</v>
      </c>
      <c r="G16" s="410">
        <f>IF($A16=0,0,VLOOKUP($A16,INS!$A$2:$G$106,6,FALSE))</f>
        <v>7000</v>
      </c>
      <c r="H16" s="29">
        <f t="shared" si="0"/>
        <v>7000</v>
      </c>
    </row>
    <row r="17" spans="1:8" ht="17.399999999999999" customHeight="1">
      <c r="A17" s="478" t="s">
        <v>476</v>
      </c>
      <c r="B17" s="479"/>
      <c r="C17" s="479"/>
      <c r="D17" s="480"/>
      <c r="E17" s="411" t="str">
        <f>IF($A17=0,0,VLOOKUP($A17,INS!$A$2:$E$106,2,FALSE))</f>
        <v>UND</v>
      </c>
      <c r="F17" s="142">
        <v>0.2</v>
      </c>
      <c r="G17" s="410">
        <f>IF($A17=0,0,VLOOKUP($A17,INS!$A$2:$G$106,6,FALSE))</f>
        <v>4500</v>
      </c>
      <c r="H17" s="29">
        <f t="shared" si="0"/>
        <v>900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31500.000000000004</v>
      </c>
      <c r="H22" s="29">
        <f>F22*G22</f>
        <v>1575.0000000000002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169475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3" s="53">
        <f>F43*G43</f>
        <v>19833.333333333336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4" s="53">
        <f t="shared" ref="H44:H45" si="1">F44*G44</f>
        <v>11666.666666666668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31500.000000000004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200975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FCD57D18-1EB9-43B2-9990-6CC9D9E00CFE}">
          <x14:formula1>
            <xm:f>INS!$A$2:$A$89</xm:f>
          </x14:formula1>
          <xm:sqref>A15:D20</xm:sqref>
        </x14:dataValidation>
        <x14:dataValidation type="list" allowBlank="1" showInputMessage="1" showErrorMessage="1" xr:uid="{214C4997-8032-4DD5-8478-28E343E23EB3}">
          <x14:formula1>
            <xm:f>EQUI!$A$2:$A$38</xm:f>
          </x14:formula1>
          <xm:sqref>A27:C28</xm:sqref>
        </x14:dataValidation>
        <x14:dataValidation type="list" showInputMessage="1" showErrorMessage="1" xr:uid="{2D4AFC25-FB3C-4CED-BBA7-9C2CBCC5BD66}">
          <x14:formula1>
            <xm:f>TRANS!$A$2:$A$20</xm:f>
          </x14:formula1>
          <xm:sqref>A35:C35</xm:sqref>
        </x14:dataValidation>
        <x14:dataValidation type="list" showInputMessage="1" showErrorMessage="1" xr:uid="{211D24C4-83C6-4BA5-9760-2F5F995BD4AE}">
          <x14:formula1>
            <xm:f>LIST!$B$3:$B$85</xm:f>
          </x14:formula1>
          <xm:sqref>D10:H11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0FB2D-1795-4C5F-B9AD-A9697F9D8BB9}">
  <dimension ref="A1:H56"/>
  <sheetViews>
    <sheetView topLeftCell="A5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407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467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190000</v>
      </c>
      <c r="H15" s="29">
        <f t="shared" ref="H15:H20" si="0">+F15*G15</f>
        <v>190000</v>
      </c>
    </row>
    <row r="16" spans="1:8">
      <c r="A16" s="473" t="s">
        <v>469</v>
      </c>
      <c r="B16" s="474"/>
      <c r="C16" s="474"/>
      <c r="D16" s="475"/>
      <c r="E16" s="410" t="str">
        <f>IF($A16=0,0,VLOOKUP($A16,INS!$A$2:$E$106,2,FALSE))</f>
        <v>UND</v>
      </c>
      <c r="F16" s="142">
        <v>1</v>
      </c>
      <c r="G16" s="410">
        <f>IF($A16=0,0,VLOOKUP($A16,INS!$A$2:$G$106,6,FALSE))</f>
        <v>28000</v>
      </c>
      <c r="H16" s="29">
        <f t="shared" si="0"/>
        <v>28000</v>
      </c>
    </row>
    <row r="17" spans="1:8" ht="17.399999999999999" customHeight="1">
      <c r="A17" s="478" t="s">
        <v>462</v>
      </c>
      <c r="B17" s="479"/>
      <c r="C17" s="479"/>
      <c r="D17" s="480"/>
      <c r="E17" s="411" t="str">
        <f>IF($A17=0,0,VLOOKUP($A17,INS!$A$2:$E$106,2,FALSE))</f>
        <v>UND</v>
      </c>
      <c r="F17" s="142">
        <v>0.4</v>
      </c>
      <c r="G17" s="410">
        <f>IF($A17=0,0,VLOOKUP($A17,INS!$A$2:$G$106,6,FALSE))</f>
        <v>7000</v>
      </c>
      <c r="H17" s="29">
        <f t="shared" si="0"/>
        <v>2800</v>
      </c>
    </row>
    <row r="18" spans="1:8">
      <c r="A18" s="473" t="s">
        <v>468</v>
      </c>
      <c r="B18" s="474"/>
      <c r="C18" s="474"/>
      <c r="D18" s="475"/>
      <c r="E18" s="411" t="str">
        <f>IF($A18=0,0,VLOOKUP($A18,INS!$A$2:$E$106,2,FALSE))</f>
        <v>UND</v>
      </c>
      <c r="F18" s="142">
        <v>1</v>
      </c>
      <c r="G18" s="410">
        <f>IF($A18=0,0,VLOOKUP($A18,INS!$A$2:$G$106,6,FALSE))</f>
        <v>25000</v>
      </c>
      <c r="H18" s="29">
        <f t="shared" si="0"/>
        <v>25000</v>
      </c>
    </row>
    <row r="19" spans="1:8">
      <c r="A19" s="473" t="s">
        <v>471</v>
      </c>
      <c r="B19" s="474"/>
      <c r="C19" s="474"/>
      <c r="D19" s="475"/>
      <c r="E19" s="411" t="str">
        <f>IF($A19=0,0,VLOOKUP($A19,INS!$A$2:$E$106,2,FALSE))</f>
        <v>UND</v>
      </c>
      <c r="F19" s="142">
        <v>0.3</v>
      </c>
      <c r="G19" s="410">
        <f>IF($A19=0,0,VLOOKUP($A19,INS!$A$2:$G$106,6,FALSE))</f>
        <v>24000</v>
      </c>
      <c r="H19" s="29">
        <f t="shared" si="0"/>
        <v>7200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47250</v>
      </c>
      <c r="H22" s="29">
        <f>F22*G22</f>
        <v>2362.5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255362.5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3" s="53">
        <f>F43*G43</f>
        <v>29750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4" s="53">
        <f t="shared" ref="H44:H45" si="1">F44*G44</f>
        <v>17500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47250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302613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A9E1CC9B-B1AC-48E7-81AB-768A019BC2EC}">
          <x14:formula1>
            <xm:f>LIST!$B$3:$B$85</xm:f>
          </x14:formula1>
          <xm:sqref>D10:H11</xm:sqref>
        </x14:dataValidation>
        <x14:dataValidation type="list" showInputMessage="1" showErrorMessage="1" xr:uid="{D2F1CAAA-A258-429F-8BC2-303BD699B4E1}">
          <x14:formula1>
            <xm:f>TRANS!$A$2:$A$20</xm:f>
          </x14:formula1>
          <xm:sqref>A35:C35</xm:sqref>
        </x14:dataValidation>
        <x14:dataValidation type="list" allowBlank="1" showInputMessage="1" showErrorMessage="1" xr:uid="{2F780CA0-2FA1-41A1-A7E8-0920931B2E68}">
          <x14:formula1>
            <xm:f>EQUI!$A$2:$A$38</xm:f>
          </x14:formula1>
          <xm:sqref>A27:C28</xm:sqref>
        </x14:dataValidation>
        <x14:dataValidation type="list" showInputMessage="1" showErrorMessage="1" xr:uid="{46150400-0B93-4322-AC4A-67CCEC50A326}">
          <x14:formula1>
            <xm:f>INS!$A$2:$A$89</xm:f>
          </x14:formula1>
          <xm:sqref>A15:D20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CA4B5-9F39-4974-AD9E-E814382CE672}">
  <dimension ref="A1:H56"/>
  <sheetViews>
    <sheetView topLeftCell="A8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2.0099999999999998</v>
      </c>
      <c r="E9" s="24" t="s">
        <v>28</v>
      </c>
      <c r="F9" s="23" t="str">
        <f>+VLOOKUP($D$10,LIST!B3:C54,2,FALSE)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406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464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680000</v>
      </c>
      <c r="H15" s="29">
        <f t="shared" ref="H15:H20" si="0">+F15*G15</f>
        <v>680000</v>
      </c>
    </row>
    <row r="16" spans="1:8">
      <c r="A16" s="473" t="s">
        <v>463</v>
      </c>
      <c r="B16" s="474"/>
      <c r="C16" s="474"/>
      <c r="D16" s="475"/>
      <c r="E16" s="410" t="str">
        <f>IF($A16=0,0,VLOOKUP($A16,INS!$A$2:$E$106,2,FALSE))</f>
        <v>UND</v>
      </c>
      <c r="F16" s="142">
        <v>1</v>
      </c>
      <c r="G16" s="410">
        <f>IF($A16=0,0,VLOOKUP($A16,INS!$A$2:$G$106,6,FALSE))</f>
        <v>60000</v>
      </c>
      <c r="H16" s="29">
        <f t="shared" si="0"/>
        <v>60000</v>
      </c>
    </row>
    <row r="17" spans="1:8" ht="17.399999999999999" customHeight="1">
      <c r="A17" s="478" t="s">
        <v>111</v>
      </c>
      <c r="B17" s="479"/>
      <c r="C17" s="479"/>
      <c r="D17" s="480"/>
      <c r="E17" s="411" t="str">
        <f>IF($A17=0,0,VLOOKUP($A17,INS!$A$2:$E$106,2,FALSE))</f>
        <v>KG</v>
      </c>
      <c r="F17" s="142">
        <v>0.4</v>
      </c>
      <c r="G17" s="410">
        <f>IF($A17=0,0,VLOOKUP($A17,INS!$A$2:$G$106,6,FALSE))</f>
        <v>6600</v>
      </c>
      <c r="H17" s="29">
        <f t="shared" si="0"/>
        <v>2640</v>
      </c>
    </row>
    <row r="18" spans="1:8">
      <c r="A18" s="473" t="s">
        <v>461</v>
      </c>
      <c r="B18" s="474"/>
      <c r="C18" s="474"/>
      <c r="D18" s="475"/>
      <c r="E18" s="411" t="str">
        <f>IF($A18=0,0,VLOOKUP($A18,INS!$A$2:$E$106,2,FALSE))</f>
        <v>UND</v>
      </c>
      <c r="F18" s="142">
        <v>1</v>
      </c>
      <c r="G18" s="410">
        <f>IF($A18=0,0,VLOOKUP($A18,INS!$A$2:$G$106,6,FALSE))</f>
        <v>72000</v>
      </c>
      <c r="H18" s="29">
        <f t="shared" si="0"/>
        <v>72000</v>
      </c>
    </row>
    <row r="19" spans="1:8">
      <c r="A19" s="473" t="s">
        <v>462</v>
      </c>
      <c r="B19" s="474"/>
      <c r="C19" s="474"/>
      <c r="D19" s="475"/>
      <c r="E19" s="411" t="str">
        <f>IF($A19=0,0,VLOOKUP($A19,INS!$A$2:$E$106,2,FALSE))</f>
        <v>UND</v>
      </c>
      <c r="F19" s="142">
        <v>1</v>
      </c>
      <c r="G19" s="410">
        <f>IF($A19=0,0,VLOOKUP($A19,INS!$A$2:$G$106,6,FALSE))</f>
        <v>7000</v>
      </c>
      <c r="H19" s="29">
        <f t="shared" si="0"/>
        <v>7000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98437.5</v>
      </c>
      <c r="H22" s="29">
        <f>F22*G22</f>
        <v>4921.875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826561.875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2.5</v>
      </c>
      <c r="H43" s="53">
        <f>F43*G43</f>
        <v>61979.166666666672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2.5</v>
      </c>
      <c r="H44" s="53">
        <f t="shared" ref="H44:H45" si="1">F44*G44</f>
        <v>36458.333333333336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98437.5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924999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75EC1D6B-1BBC-472B-8D6E-472D2C344C33}">
          <x14:formula1>
            <xm:f>INS!$A$2:$A$89</xm:f>
          </x14:formula1>
          <xm:sqref>A15:D20</xm:sqref>
        </x14:dataValidation>
        <x14:dataValidation type="list" allowBlank="1" showInputMessage="1" showErrorMessage="1" xr:uid="{44B291F4-4281-45F0-A4F8-3889B5E3B877}">
          <x14:formula1>
            <xm:f>EQUI!$A$2:$A$38</xm:f>
          </x14:formula1>
          <xm:sqref>A27:C28</xm:sqref>
        </x14:dataValidation>
        <x14:dataValidation type="list" showInputMessage="1" showErrorMessage="1" xr:uid="{6A9FF490-FD19-4D9F-A765-B2671DDE9486}">
          <x14:formula1>
            <xm:f>TRANS!$A$2:$A$20</xm:f>
          </x14:formula1>
          <xm:sqref>A35:C35</xm:sqref>
        </x14:dataValidation>
        <x14:dataValidation type="list" showInputMessage="1" showErrorMessage="1" xr:uid="{585E4BD5-1489-4CAC-8780-92D9208B54B0}">
          <x14:formula1>
            <xm:f>LIST!$B$3:$B$85</xm:f>
          </x14:formula1>
          <xm:sqref>D10:H11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61072-BBF6-4CDF-8A41-78271E4C960F}">
  <dimension ref="A1:H56"/>
  <sheetViews>
    <sheetView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2.0199999999999996</v>
      </c>
      <c r="E9" s="24" t="s">
        <v>28</v>
      </c>
      <c r="F9" s="23" t="str">
        <f>+VLOOKUP($D$10,LIST!B3:C54,2,FALSE)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412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460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310000</v>
      </c>
      <c r="H15" s="29">
        <f t="shared" ref="H15:H20" si="0">+F15*G15</f>
        <v>310000</v>
      </c>
    </row>
    <row r="16" spans="1:8">
      <c r="A16" s="473" t="s">
        <v>463</v>
      </c>
      <c r="B16" s="474"/>
      <c r="C16" s="474"/>
      <c r="D16" s="475"/>
      <c r="E16" s="410" t="str">
        <f>IF($A16=0,0,VLOOKUP($A16,INS!$A$2:$E$106,2,FALSE))</f>
        <v>UND</v>
      </c>
      <c r="F16" s="142">
        <v>1</v>
      </c>
      <c r="G16" s="410">
        <f>IF($A16=0,0,VLOOKUP($A16,INS!$A$2:$G$106,6,FALSE))</f>
        <v>60000</v>
      </c>
      <c r="H16" s="29">
        <f t="shared" si="0"/>
        <v>60000</v>
      </c>
    </row>
    <row r="17" spans="1:8" ht="17.399999999999999" customHeight="1">
      <c r="A17" s="478" t="s">
        <v>111</v>
      </c>
      <c r="B17" s="479"/>
      <c r="C17" s="479"/>
      <c r="D17" s="480"/>
      <c r="E17" s="411" t="str">
        <f>IF($A17=0,0,VLOOKUP($A17,INS!$A$2:$E$106,2,FALSE))</f>
        <v>KG</v>
      </c>
      <c r="F17" s="142">
        <v>0.4</v>
      </c>
      <c r="G17" s="410">
        <f>IF($A17=0,0,VLOOKUP($A17,INS!$A$2:$G$106,6,FALSE))</f>
        <v>6600</v>
      </c>
      <c r="H17" s="29">
        <f t="shared" si="0"/>
        <v>2640</v>
      </c>
    </row>
    <row r="18" spans="1:8">
      <c r="A18" s="473" t="s">
        <v>461</v>
      </c>
      <c r="B18" s="474"/>
      <c r="C18" s="474"/>
      <c r="D18" s="475"/>
      <c r="E18" s="411" t="str">
        <f>IF($A18=0,0,VLOOKUP($A18,INS!$A$2:$E$106,2,FALSE))</f>
        <v>UND</v>
      </c>
      <c r="F18" s="142">
        <v>1</v>
      </c>
      <c r="G18" s="410">
        <f>IF($A18=0,0,VLOOKUP($A18,INS!$A$2:$G$106,6,FALSE))</f>
        <v>72000</v>
      </c>
      <c r="H18" s="29">
        <f t="shared" si="0"/>
        <v>72000</v>
      </c>
    </row>
    <row r="19" spans="1:8">
      <c r="A19" s="473" t="s">
        <v>462</v>
      </c>
      <c r="B19" s="474"/>
      <c r="C19" s="474"/>
      <c r="D19" s="475"/>
      <c r="E19" s="411" t="str">
        <f>IF($A19=0,0,VLOOKUP($A19,INS!$A$2:$E$106,2,FALSE))</f>
        <v>UND</v>
      </c>
      <c r="F19" s="142">
        <v>1</v>
      </c>
      <c r="G19" s="410">
        <f>IF($A19=0,0,VLOOKUP($A19,INS!$A$2:$G$106,6,FALSE))</f>
        <v>7000</v>
      </c>
      <c r="H19" s="29">
        <f t="shared" si="0"/>
        <v>7000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59062.5</v>
      </c>
      <c r="H22" s="29">
        <f>F22*G22</f>
        <v>2953.125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454593.125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1.5</v>
      </c>
      <c r="H43" s="53">
        <f>F43*G43</f>
        <v>37187.5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1.5</v>
      </c>
      <c r="H44" s="53">
        <f t="shared" ref="H44:H45" si="1">F44*G44</f>
        <v>21875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59062.5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513656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2309335C-6FB4-4277-BDE8-13AB850B32C7}">
          <x14:formula1>
            <xm:f>LIST!$B$3:$B$85</xm:f>
          </x14:formula1>
          <xm:sqref>D10:H11</xm:sqref>
        </x14:dataValidation>
        <x14:dataValidation type="list" showInputMessage="1" showErrorMessage="1" xr:uid="{1D6069A4-31D2-4E22-80DA-B358E45A1C6A}">
          <x14:formula1>
            <xm:f>TRANS!$A$2:$A$20</xm:f>
          </x14:formula1>
          <xm:sqref>A35:C35</xm:sqref>
        </x14:dataValidation>
        <x14:dataValidation type="list" allowBlank="1" showInputMessage="1" showErrorMessage="1" xr:uid="{B9963FF9-7DA6-47FD-8D79-764A1656E488}">
          <x14:formula1>
            <xm:f>EQUI!$A$2:$A$38</xm:f>
          </x14:formula1>
          <xm:sqref>A27:C28</xm:sqref>
        </x14:dataValidation>
        <x14:dataValidation type="list" showInputMessage="1" showErrorMessage="1" xr:uid="{CA6F946D-84E0-48C8-BF1E-6FFB043A008C}">
          <x14:formula1>
            <xm:f>INS!$A$2:$A$89</xm:f>
          </x14:formula1>
          <xm:sqref>A15:D20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F6FF9-97E6-4AC0-95F1-ACDC8E12A752}">
  <dimension ref="A1:H56"/>
  <sheetViews>
    <sheetView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4.01</v>
      </c>
      <c r="E9" s="24" t="s">
        <v>28</v>
      </c>
      <c r="F9" s="23" t="str">
        <f>+VLOOKUP($D$10,LIST!B3:C54,2,FALSE)</f>
        <v>M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320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376</v>
      </c>
      <c r="B15" s="479"/>
      <c r="C15" s="479"/>
      <c r="D15" s="480"/>
      <c r="E15" s="410" t="str">
        <f>IF($A15=0,0,VLOOKUP($A15,INS!$A$2:$E$106,2,FALSE))</f>
        <v>ROLLO</v>
      </c>
      <c r="F15" s="142">
        <v>0.03</v>
      </c>
      <c r="G15" s="410">
        <f>IF($A15=0,0,VLOOKUP($A15,INS!$A$2:$G$106,6,FALSE))</f>
        <v>245000</v>
      </c>
      <c r="H15" s="29">
        <f t="shared" ref="H15:H20" si="0">+F15*G15</f>
        <v>7350</v>
      </c>
    </row>
    <row r="16" spans="1:8">
      <c r="A16" s="473" t="s">
        <v>378</v>
      </c>
      <c r="B16" s="474"/>
      <c r="C16" s="474"/>
      <c r="D16" s="475"/>
      <c r="E16" s="410" t="str">
        <f>IF($A16=0,0,VLOOKUP($A16,INS!$A$2:$E$106,2,FALSE))</f>
        <v>UND</v>
      </c>
      <c r="F16" s="142">
        <v>0.2</v>
      </c>
      <c r="G16" s="410">
        <f>IF($A16=0,0,VLOOKUP($A16,INS!$A$2:$G$106,6,FALSE))</f>
        <v>5500</v>
      </c>
      <c r="H16" s="29">
        <f t="shared" si="0"/>
        <v>1100</v>
      </c>
    </row>
    <row r="17" spans="1:8" ht="17.399999999999999" customHeight="1">
      <c r="A17" s="478" t="s">
        <v>377</v>
      </c>
      <c r="B17" s="479"/>
      <c r="C17" s="479"/>
      <c r="D17" s="480"/>
      <c r="E17" s="411" t="str">
        <f>IF($A17=0,0,VLOOKUP($A17,INS!$A$2:$E$106,2,FALSE))</f>
        <v>UND</v>
      </c>
      <c r="F17" s="142">
        <v>0.4</v>
      </c>
      <c r="G17" s="410">
        <f>IF($A17=0,0,VLOOKUP($A17,INS!$A$2:$G$106,6,FALSE))</f>
        <v>2800</v>
      </c>
      <c r="H17" s="29">
        <f t="shared" si="0"/>
        <v>1120</v>
      </c>
    </row>
    <row r="18" spans="1:8">
      <c r="A18" s="473" t="s">
        <v>379</v>
      </c>
      <c r="B18" s="474"/>
      <c r="C18" s="474"/>
      <c r="D18" s="475"/>
      <c r="E18" s="411" t="str">
        <f>IF($A18=0,0,VLOOKUP($A18,INS!$A$2:$E$106,2,FALSE))</f>
        <v>UND</v>
      </c>
      <c r="F18" s="142">
        <v>0.34</v>
      </c>
      <c r="G18" s="410">
        <f>IF($A18=0,0,VLOOKUP($A18,INS!$A$2:$G$106,6,FALSE))</f>
        <v>21000</v>
      </c>
      <c r="H18" s="29">
        <f t="shared" si="0"/>
        <v>7140.0000000000009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16187.5</v>
      </c>
      <c r="H22" s="29">
        <f>F22*G22</f>
        <v>809.375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17519.375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>
        <f>+F15</f>
        <v>0.03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53">
        <f>F43*G43</f>
        <v>7437.5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53">
        <f t="shared" ref="H44:H45" si="1">F44*G44</f>
        <v>8750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16187.5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33707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6E5809B3-1422-4A56-BB82-73CA6DEFD30E}">
          <x14:formula1>
            <xm:f>INS!$A$2:$A$89</xm:f>
          </x14:formula1>
          <xm:sqref>A15:D20</xm:sqref>
        </x14:dataValidation>
        <x14:dataValidation type="list" allowBlank="1" showInputMessage="1" showErrorMessage="1" xr:uid="{0A248391-3CAC-4660-B072-08962E6E753F}">
          <x14:formula1>
            <xm:f>EQUI!$A$2:$A$38</xm:f>
          </x14:formula1>
          <xm:sqref>A27:C28</xm:sqref>
        </x14:dataValidation>
        <x14:dataValidation type="list" showInputMessage="1" showErrorMessage="1" xr:uid="{136AC21B-723A-4641-AA06-77F902DAFA36}">
          <x14:formula1>
            <xm:f>TRANS!$A$2:$A$20</xm:f>
          </x14:formula1>
          <xm:sqref>A35:C35</xm:sqref>
        </x14:dataValidation>
        <x14:dataValidation type="list" showInputMessage="1" showErrorMessage="1" xr:uid="{419001FE-4D94-44FC-BA72-3ABB71330F08}">
          <x14:formula1>
            <xm:f>LIST!$B$3:$B$85</xm:f>
          </x14:formula1>
          <xm:sqref>D10:H11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6803F-58EA-4F1D-8D5A-B9164A2F7BFC}">
  <dimension ref="A1:H56"/>
  <sheetViews>
    <sheetView topLeftCell="A3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M3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337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72</v>
      </c>
      <c r="B15" s="479"/>
      <c r="C15" s="479"/>
      <c r="D15" s="480"/>
      <c r="E15" s="410" t="str">
        <f>IF($A15=0,0,VLOOKUP($A15,INS!$A$2:$E$106,2,FALSE))</f>
        <v>BLT</v>
      </c>
      <c r="F15" s="142">
        <v>7</v>
      </c>
      <c r="G15" s="410">
        <f>IF($A15=0,0,VLOOKUP($A15,INS!$A$2:$G$106,6,FALSE))</f>
        <v>37000</v>
      </c>
      <c r="H15" s="29">
        <f t="shared" ref="H15:H20" si="0">+F15*G15</f>
        <v>259000</v>
      </c>
    </row>
    <row r="16" spans="1:8">
      <c r="A16" s="473" t="s">
        <v>100</v>
      </c>
      <c r="B16" s="474"/>
      <c r="C16" s="474"/>
      <c r="D16" s="475"/>
      <c r="E16" s="410" t="str">
        <f>IF($A16=0,0,VLOOKUP($A16,INS!$A$2:$E$106,2,FALSE))</f>
        <v>M3</v>
      </c>
      <c r="F16" s="142">
        <v>0.75</v>
      </c>
      <c r="G16" s="410">
        <f>IF($A16=0,0,VLOOKUP($A16,INS!$A$2:$G$106,6,FALSE))</f>
        <v>69187</v>
      </c>
      <c r="H16" s="29">
        <f t="shared" si="0"/>
        <v>51890.25</v>
      </c>
    </row>
    <row r="17" spans="1:8" ht="17.399999999999999" customHeight="1">
      <c r="A17" s="478" t="s">
        <v>65</v>
      </c>
      <c r="B17" s="479"/>
      <c r="C17" s="479"/>
      <c r="D17" s="480"/>
      <c r="E17" s="410" t="str">
        <f>IF($A17=0,0,VLOOKUP($A17,INS!$A$2:$E$106,2,FALSE))</f>
        <v>M3</v>
      </c>
      <c r="F17" s="142">
        <v>0.65</v>
      </c>
      <c r="G17" s="410">
        <f>IF($A17=0,0,VLOOKUP($A17,INS!$A$2:$G$106,6,FALSE))</f>
        <v>71813</v>
      </c>
      <c r="H17" s="29">
        <f t="shared" si="0"/>
        <v>46678.450000000004</v>
      </c>
    </row>
    <row r="18" spans="1:8">
      <c r="A18" s="473" t="s">
        <v>68</v>
      </c>
      <c r="B18" s="474"/>
      <c r="C18" s="474"/>
      <c r="D18" s="475"/>
      <c r="E18" s="411" t="str">
        <f>IF($A18=0,0,VLOOKUP($A18,INS!$A$2:$E$106,2,FALSE))</f>
        <v>LT</v>
      </c>
      <c r="F18" s="142">
        <v>180</v>
      </c>
      <c r="G18" s="410">
        <f>IF($A18=0,0,VLOOKUP($A18,INS!$A$2:$G$106,6,FALSE))</f>
        <v>35</v>
      </c>
      <c r="H18" s="29">
        <f t="shared" si="0"/>
        <v>6300</v>
      </c>
    </row>
    <row r="19" spans="1:8">
      <c r="A19" s="473" t="s">
        <v>104</v>
      </c>
      <c r="B19" s="474"/>
      <c r="C19" s="474"/>
      <c r="D19" s="475"/>
      <c r="E19" s="411" t="str">
        <f>IF($A19=0,0,VLOOKUP($A19,INS!$A$2:$E$106,2,FALSE))</f>
        <v>DOCENA</v>
      </c>
      <c r="F19" s="142">
        <v>0.5</v>
      </c>
      <c r="G19" s="410">
        <f>IF($A19=0,0,VLOOKUP($A19,INS!$A$2:$G$106,6,FALSE))</f>
        <v>290300</v>
      </c>
      <c r="H19" s="29">
        <f t="shared" si="0"/>
        <v>145150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374062.5</v>
      </c>
      <c r="H22" s="29">
        <f>F22*G22</f>
        <v>18703.125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527721.82499999995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71</v>
      </c>
      <c r="B27" s="467"/>
      <c r="C27" s="467"/>
      <c r="D27" s="69"/>
      <c r="E27" s="23"/>
      <c r="F27" s="65">
        <f>IF($A27=0,0,VLOOKUP($A27,EQUI!$A$2:$E$6,3,FALSE))</f>
        <v>7000</v>
      </c>
      <c r="G27" s="142">
        <f>+IF($A27=0,0,VLOOKUP($A27,EQUI!$A$2:$E$6,5,FALSE))</f>
        <v>2.5</v>
      </c>
      <c r="H27" s="29">
        <f>F27*G27</f>
        <v>17500</v>
      </c>
    </row>
    <row r="28" spans="1:8">
      <c r="A28" s="467" t="s">
        <v>338</v>
      </c>
      <c r="B28" s="467"/>
      <c r="C28" s="467"/>
      <c r="D28" s="69"/>
      <c r="E28" s="23"/>
      <c r="F28" s="65">
        <f>IF($A28=0,0,VLOOKUP($A28,EQUI!$A$2:$E$6,3,FALSE))</f>
        <v>10000</v>
      </c>
      <c r="G28" s="142">
        <f>+IF($A28=0,0,VLOOKUP($A28,EQUI!$A$2:$E$6,5,FALSE))</f>
        <v>2.5</v>
      </c>
      <c r="H28" s="29">
        <f>F28*G28</f>
        <v>25000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42500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324</v>
      </c>
      <c r="B35" s="471"/>
      <c r="C35" s="471"/>
      <c r="D35" s="146">
        <f>IF($A$35=0,0,VLOOKUP($A$35,TRANS!$A$2:$F$38,5,FALSE))</f>
        <v>1.1000000000000001</v>
      </c>
      <c r="E35" s="46">
        <f>IF($A$35=0,0,VLOOKUP($A$35,TRANS!$A$2:$D$39,3,FALSE))</f>
        <v>125</v>
      </c>
      <c r="F35" s="169">
        <f>+F16+F17</f>
        <v>1.4</v>
      </c>
      <c r="G35" s="145">
        <f>IF($A$35=0,0,VLOOKUP($A$35,TRANS!$A$2:$D$38,4,FALSE))</f>
        <v>1800</v>
      </c>
      <c r="H35" s="29">
        <f>+E35*F35*G35*D35</f>
        <v>346500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346500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4.5</v>
      </c>
      <c r="H43" s="53">
        <f>F43*G43</f>
        <v>111562.5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4</v>
      </c>
      <c r="F44" s="28">
        <f>D44*E44</f>
        <v>58333.333333333336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4.5</v>
      </c>
      <c r="H44" s="53">
        <f t="shared" ref="H44:H45" si="1">F44*G44</f>
        <v>262500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374062.5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1290784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6:C26"/>
    <mergeCell ref="A19:D19"/>
    <mergeCell ref="A18:D18"/>
    <mergeCell ref="A10:C11"/>
    <mergeCell ref="D10:H11"/>
    <mergeCell ref="A13:H13"/>
    <mergeCell ref="A14:D14"/>
    <mergeCell ref="A15:D15"/>
    <mergeCell ref="A16:D16"/>
    <mergeCell ref="A17:D17"/>
    <mergeCell ref="A20:D20"/>
    <mergeCell ref="A21:D21"/>
    <mergeCell ref="A22:D22"/>
    <mergeCell ref="A25:H25"/>
    <mergeCell ref="A44:C44"/>
    <mergeCell ref="A27:C27"/>
    <mergeCell ref="A29:C29"/>
    <mergeCell ref="A33:H33"/>
    <mergeCell ref="A34:C34"/>
    <mergeCell ref="A35:C35"/>
    <mergeCell ref="A36:C36"/>
    <mergeCell ref="A28:C28"/>
    <mergeCell ref="A37:C37"/>
    <mergeCell ref="A38:C38"/>
    <mergeCell ref="A41:H41"/>
    <mergeCell ref="A42:C42"/>
    <mergeCell ref="A43:C43"/>
    <mergeCell ref="A45:C45"/>
    <mergeCell ref="A48:G48"/>
    <mergeCell ref="A54:D54"/>
    <mergeCell ref="F54:H54"/>
    <mergeCell ref="A55:D55"/>
    <mergeCell ref="F55:H55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FAFF32B2-7451-40ED-A34B-35AAABC52FEF}">
          <x14:formula1>
            <xm:f>INS!$A$2:$A$89</xm:f>
          </x14:formula1>
          <xm:sqref>A15:D20</xm:sqref>
        </x14:dataValidation>
        <x14:dataValidation type="list" allowBlank="1" showInputMessage="1" showErrorMessage="1" xr:uid="{796D11AA-65A4-442D-9791-D5CA1D78AF62}">
          <x14:formula1>
            <xm:f>EQUI!$A$2:$A$38</xm:f>
          </x14:formula1>
          <xm:sqref>A27:C28</xm:sqref>
        </x14:dataValidation>
        <x14:dataValidation type="list" showInputMessage="1" showErrorMessage="1" xr:uid="{9D5415AF-830C-4300-9887-BF5AD741F9B9}">
          <x14:formula1>
            <xm:f>TRANS!$A$2:$A$20</xm:f>
          </x14:formula1>
          <xm:sqref>A35:C35</xm:sqref>
        </x14:dataValidation>
        <x14:dataValidation type="list" showInputMessage="1" showErrorMessage="1" xr:uid="{E4FC0D06-C7D0-464B-AD7C-A8185D6D2596}">
          <x14:formula1>
            <xm:f>LIST!$B$3:$B$85</xm:f>
          </x14:formula1>
          <xm:sqref>D10:H11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79DF9-7D33-498F-8F92-FCD7CC79CD4E}">
  <dimension ref="A1:H56"/>
  <sheetViews>
    <sheetView topLeftCell="A34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KG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74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8" t="s">
        <v>103</v>
      </c>
      <c r="B15" s="479"/>
      <c r="C15" s="479"/>
      <c r="D15" s="480"/>
      <c r="E15" s="410" t="str">
        <f>IF($A15=0,0,VLOOKUP($A15,INS!$A$2:$E$106,2,FALSE))</f>
        <v>KG</v>
      </c>
      <c r="F15" s="142">
        <v>1.05</v>
      </c>
      <c r="G15" s="410">
        <f>IF($A15=0,0,VLOOKUP($A15,INS!$A$2:$G$106,6,FALSE))</f>
        <v>5300</v>
      </c>
      <c r="H15" s="29">
        <f t="shared" ref="H15:H20" si="0">+F15*G15</f>
        <v>5565</v>
      </c>
    </row>
    <row r="16" spans="1:8">
      <c r="A16" s="473" t="s">
        <v>75</v>
      </c>
      <c r="B16" s="474"/>
      <c r="C16" s="474"/>
      <c r="D16" s="475"/>
      <c r="E16" s="410" t="str">
        <f>IF($A16=0,0,VLOOKUP($A16,INS!$A$2:$E$106,2,FALSE))</f>
        <v>KG</v>
      </c>
      <c r="F16" s="142">
        <v>0.11</v>
      </c>
      <c r="G16" s="410">
        <f>IF($A16=0,0,VLOOKUP($A16,INS!$A$2:$G$106,6,FALSE))</f>
        <v>8600</v>
      </c>
      <c r="H16" s="29">
        <f t="shared" si="0"/>
        <v>946</v>
      </c>
    </row>
    <row r="17" spans="1:8" ht="17.399999999999999" customHeight="1">
      <c r="A17" s="478"/>
      <c r="B17" s="479"/>
      <c r="C17" s="479"/>
      <c r="D17" s="480"/>
      <c r="E17" s="411">
        <f>IF($A17=0,0,VLOOKUP($A17,INS!$A$2:$E$106,2,FALSE))</f>
        <v>0</v>
      </c>
      <c r="F17" s="142"/>
      <c r="G17" s="410">
        <f>IF($A17=0,0,VLOOKUP($A17,INS!$A$2:$G$106,6,FALSE))</f>
        <v>0</v>
      </c>
      <c r="H17" s="29">
        <f t="shared" si="0"/>
        <v>0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 t="shared" si="0"/>
        <v>0</v>
      </c>
    </row>
    <row r="19" spans="1:8">
      <c r="A19" s="473"/>
      <c r="B19" s="474"/>
      <c r="C19" s="474"/>
      <c r="D19" s="475"/>
      <c r="E19" s="411">
        <f>IF($A19=0,0,VLOOKUP($A19,INS!$A$2:$E$106,2,FALSE))</f>
        <v>0</v>
      </c>
      <c r="F19" s="142"/>
      <c r="G19" s="410">
        <f>IF($A19=0,0,VLOOKUP($A19,INS!$A$2:$G$106,6,FALSE))</f>
        <v>0</v>
      </c>
      <c r="H19" s="29">
        <f t="shared" si="0"/>
        <v>0</v>
      </c>
    </row>
    <row r="20" spans="1:8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 t="shared" si="0"/>
        <v>0</v>
      </c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3150</v>
      </c>
      <c r="H22" s="29">
        <f>F22*G22</f>
        <v>157.5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6668.5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IF($A27=0,0,VLOOKUP($A27,EQUI!$A$2:$E$6,3,FALSE))</f>
        <v>0</v>
      </c>
      <c r="G27" s="142">
        <f>+IF($A27=0,0,VLOOKUP($A27,EQUI!$A$2:$E$6,5,FALSE))</f>
        <v>0</v>
      </c>
      <c r="H27" s="29">
        <f>F27*G27</f>
        <v>0</v>
      </c>
    </row>
    <row r="28" spans="1:8">
      <c r="A28" s="467"/>
      <c r="B28" s="467"/>
      <c r="C28" s="467"/>
      <c r="D28" s="69"/>
      <c r="E28" s="23"/>
      <c r="F28" s="65">
        <f>IF($A28=0,0,VLOOKUP($A28,EQUI!$A$2:$E$6,3,FALSE))</f>
        <v>0</v>
      </c>
      <c r="G28" s="142">
        <f>+IF($A28=0,0,VLOOKUP($A28,EQUI!$A$2:$E$6,5,FALSE))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339</v>
      </c>
      <c r="B35" s="471"/>
      <c r="C35" s="471"/>
      <c r="D35" s="146">
        <f>IF($A$35=0,0,VLOOKUP($A$35,TRANS!$A$2:$F$38,5,FALSE))</f>
        <v>1</v>
      </c>
      <c r="E35" s="46">
        <f>IF($A$35=0,0,VLOOKUP($A$35,TRANS!$A$2:$D$39,3,FALSE))</f>
        <v>195</v>
      </c>
      <c r="F35" s="169">
        <f>+F15</f>
        <v>1.05</v>
      </c>
      <c r="G35" s="145">
        <f>IF($A$35=0,0,VLOOKUP($A$35,TRANS!$A$2:$D$38,4,FALSE))</f>
        <v>2</v>
      </c>
      <c r="H35" s="29">
        <f>+E35*F35*G35*D35</f>
        <v>409.5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409.5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0.08</v>
      </c>
      <c r="H43" s="53">
        <f>F43*G43</f>
        <v>1983.3333333333335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0.08</v>
      </c>
      <c r="H44" s="53">
        <f t="shared" ref="H44:H45" si="1">F44*G44</f>
        <v>1166.6666666666667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1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3150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10228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8D8613C-CD02-4BD4-BD4D-72317F614431}">
          <x14:formula1>
            <xm:f>TRANS!$A$2:$A$20</xm:f>
          </x14:formula1>
          <xm:sqref>A35:C35</xm:sqref>
        </x14:dataValidation>
        <x14:dataValidation type="list" allowBlank="1" showInputMessage="1" showErrorMessage="1" xr:uid="{E9F664B3-F514-440E-8109-1F3D034419FB}">
          <x14:formula1>
            <xm:f>EQUI!$A$2:$A$38</xm:f>
          </x14:formula1>
          <xm:sqref>A27:C28</xm:sqref>
        </x14:dataValidation>
        <x14:dataValidation type="list" showInputMessage="1" showErrorMessage="1" xr:uid="{AF601711-F870-4AB6-8B3A-E8F88362CB2F}">
          <x14:formula1>
            <xm:f>INS!$A$2:$A$89</xm:f>
          </x14:formula1>
          <xm:sqref>A15:D20</xm:sqref>
        </x14:dataValidation>
        <x14:dataValidation type="list" showInputMessage="1" showErrorMessage="1" xr:uid="{80F3D2F9-75DF-4720-94BB-707480EE438D}">
          <x14:formula1>
            <xm:f>LIST!$B$3:$B$85</xm:f>
          </x14:formula1>
          <xm:sqref>D10:H11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BB212-2E07-49ED-B3B8-F58BD432E9C4}">
  <dimension ref="A1:H56"/>
  <sheetViews>
    <sheetView topLeftCell="A7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M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318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 ht="30.6" customHeight="1">
      <c r="A15" s="478" t="s">
        <v>334</v>
      </c>
      <c r="B15" s="479"/>
      <c r="C15" s="479"/>
      <c r="D15" s="480"/>
      <c r="E15" s="410" t="str">
        <f>IF($A15=0,0,VLOOKUP($A15,INS!$A$2:$E$106,2,FALSE))</f>
        <v>UND</v>
      </c>
      <c r="F15" s="142">
        <v>1</v>
      </c>
      <c r="G15" s="410">
        <f>IF($A15=0,0,VLOOKUP($A15,INS!$A$2:$G$106,6,FALSE))</f>
        <v>47333</v>
      </c>
      <c r="H15" s="29">
        <f>+F15*G15</f>
        <v>47333</v>
      </c>
    </row>
    <row r="16" spans="1:8">
      <c r="A16" s="473" t="s">
        <v>72</v>
      </c>
      <c r="B16" s="474"/>
      <c r="C16" s="474"/>
      <c r="D16" s="475"/>
      <c r="E16" s="410" t="str">
        <f>IF($A16=0,0,VLOOKUP($A16,INS!$A$2:$E$106,2,FALSE))</f>
        <v>BLT</v>
      </c>
      <c r="F16" s="142">
        <v>0.1</v>
      </c>
      <c r="G16" s="410">
        <f>IF($A16=0,0,VLOOKUP($A16,INS!$A$2:$G$106,6,FALSE))</f>
        <v>37000</v>
      </c>
      <c r="H16" s="29">
        <f>+F16*G16</f>
        <v>3700</v>
      </c>
    </row>
    <row r="17" spans="1:8" ht="17.399999999999999" customHeight="1">
      <c r="A17" s="478" t="s">
        <v>65</v>
      </c>
      <c r="B17" s="479"/>
      <c r="C17" s="479"/>
      <c r="D17" s="480"/>
      <c r="E17" s="410" t="str">
        <f>IF($A17=0,0,VLOOKUP($A17,INS!$A$2:$E$106,2,FALSE))</f>
        <v>M3</v>
      </c>
      <c r="F17" s="142">
        <v>0.01</v>
      </c>
      <c r="G17" s="410">
        <f>IF($A17=0,0,VLOOKUP($A17,INS!$A$2:$G$106,6,FALSE))</f>
        <v>71813</v>
      </c>
      <c r="H17" s="29">
        <f>+F17*G17</f>
        <v>718.13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>+F18*G18</f>
        <v>0</v>
      </c>
    </row>
    <row r="19" spans="1:8">
      <c r="A19" s="473"/>
      <c r="B19" s="474"/>
      <c r="C19" s="474"/>
      <c r="D19" s="475"/>
      <c r="E19" s="31"/>
      <c r="F19" s="32"/>
      <c r="G19" s="33"/>
      <c r="H19" s="29"/>
    </row>
    <row r="20" spans="1:8">
      <c r="A20" s="473"/>
      <c r="B20" s="474"/>
      <c r="C20" s="474"/>
      <c r="D20" s="475"/>
      <c r="E20" s="31"/>
      <c r="F20" s="32"/>
      <c r="G20" s="33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27562.5</v>
      </c>
      <c r="H22" s="29">
        <f>F22*G22</f>
        <v>1378.125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53129.254999999997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IF($A$27=0,0,VLOOKUP($A$27,EQUI!$A$2:$E$6,3,FALSE))</f>
        <v>0</v>
      </c>
      <c r="G27" s="142">
        <f>+IF($A$27=0,0,VLOOKUP($A$27,EQUI!$A$2:$E$6,5,FALSE))</f>
        <v>0</v>
      </c>
      <c r="H27" s="29">
        <f>F27*G27</f>
        <v>0</v>
      </c>
    </row>
    <row r="28" spans="1:8">
      <c r="A28" s="457"/>
      <c r="B28" s="458"/>
      <c r="C28" s="458"/>
      <c r="D28" s="27"/>
      <c r="E28" s="23"/>
      <c r="F28" s="23"/>
      <c r="G28" s="39"/>
      <c r="H28" s="29"/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333</v>
      </c>
      <c r="B35" s="471"/>
      <c r="C35" s="471"/>
      <c r="D35" s="146">
        <f>IF($A$35=0,0,VLOOKUP($A$35,TRANS!$A$2:$F$38,5,FALSE))</f>
        <v>1</v>
      </c>
      <c r="E35" s="46">
        <f>IF($A$35=0,0,VLOOKUP($A$35,TRANS!$A$2:$D$39,3,FALSE))</f>
        <v>195</v>
      </c>
      <c r="F35" s="169">
        <f>+F15</f>
        <v>1</v>
      </c>
      <c r="G35" s="145">
        <f>IF($A$35=0,0,VLOOKUP($A$35,TRANS!$A$2:$D$38,4,FALSE))</f>
        <v>5</v>
      </c>
      <c r="H35" s="29">
        <f>+E35*F35*G35*D35</f>
        <v>975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975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0.7</v>
      </c>
      <c r="H43" s="53">
        <f>F43*G43</f>
        <v>17354.166666666668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0.7</v>
      </c>
      <c r="H44" s="53">
        <f t="shared" ref="H44:H45" si="0">F44*G44</f>
        <v>10208.333333333334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27562.5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81667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6:C26"/>
    <mergeCell ref="A10:C11"/>
    <mergeCell ref="D10:H11"/>
    <mergeCell ref="A13:H13"/>
    <mergeCell ref="A14:D14"/>
    <mergeCell ref="A15:D15"/>
    <mergeCell ref="A16:D16"/>
    <mergeCell ref="A17:D17"/>
    <mergeCell ref="A18:D18"/>
    <mergeCell ref="A21:D21"/>
    <mergeCell ref="A22:D22"/>
    <mergeCell ref="A25:H25"/>
    <mergeCell ref="A19:D19"/>
    <mergeCell ref="A20:D20"/>
    <mergeCell ref="A44:C44"/>
    <mergeCell ref="A27:C27"/>
    <mergeCell ref="A29:C29"/>
    <mergeCell ref="A33:H33"/>
    <mergeCell ref="A34:C34"/>
    <mergeCell ref="A35:C35"/>
    <mergeCell ref="A36:C36"/>
    <mergeCell ref="A37:C37"/>
    <mergeCell ref="A38:C38"/>
    <mergeCell ref="A41:H41"/>
    <mergeCell ref="A42:C42"/>
    <mergeCell ref="A43:C43"/>
    <mergeCell ref="A28:C28"/>
    <mergeCell ref="A45:C45"/>
    <mergeCell ref="A48:G48"/>
    <mergeCell ref="A54:D54"/>
    <mergeCell ref="F54:H54"/>
    <mergeCell ref="A55:D55"/>
    <mergeCell ref="F55:H55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E8BC0CE4-77B8-4FD2-9C67-8AC3CF7961AA}">
          <x14:formula1>
            <xm:f>TRANS!$A$2:$A$20</xm:f>
          </x14:formula1>
          <xm:sqref>A35:C35</xm:sqref>
        </x14:dataValidation>
        <x14:dataValidation type="list" allowBlank="1" showInputMessage="1" showErrorMessage="1" xr:uid="{E4C9B770-07EE-4D44-8040-A424F0600CD6}">
          <x14:formula1>
            <xm:f>EQUI!$A$2:$A$38</xm:f>
          </x14:formula1>
          <xm:sqref>A27:C27</xm:sqref>
        </x14:dataValidation>
        <x14:dataValidation type="list" showInputMessage="1" showErrorMessage="1" xr:uid="{0C924EFB-86E2-4143-97E1-7145AD3A7DAA}">
          <x14:formula1>
            <xm:f>INS!$A$2:$A$89</xm:f>
          </x14:formula1>
          <xm:sqref>A15:D18</xm:sqref>
        </x14:dataValidation>
        <x14:dataValidation type="list" showInputMessage="1" showErrorMessage="1" xr:uid="{8765DB79-53B6-42F2-9596-C4FD7D0B022A}">
          <x14:formula1>
            <xm:f>LIST!$B$3:$B$85</xm:f>
          </x14:formula1>
          <xm:sqref>D10:H11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E6A6C-D896-463A-BB81-43BC3076FB5A}">
  <dimension ref="A1:H56"/>
  <sheetViews>
    <sheetView topLeftCell="A38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459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 ht="30.6" customHeight="1">
      <c r="A15" s="478" t="s">
        <v>331</v>
      </c>
      <c r="B15" s="479"/>
      <c r="C15" s="479"/>
      <c r="D15" s="480"/>
      <c r="E15" s="410" t="str">
        <f>IF($A15=0,0,VLOOKUP($A15,INS!$A$2:$E$106,2,FALSE))</f>
        <v>UND</v>
      </c>
      <c r="F15" s="142">
        <v>12</v>
      </c>
      <c r="G15" s="410">
        <f>IF($A15=0,0,VLOOKUP($A15,INS!$A$2:$G$106,6,FALSE))</f>
        <v>6333</v>
      </c>
      <c r="H15" s="29">
        <f>+F15*G15</f>
        <v>75996</v>
      </c>
    </row>
    <row r="16" spans="1:8">
      <c r="A16" s="473" t="s">
        <v>72</v>
      </c>
      <c r="B16" s="474"/>
      <c r="C16" s="474"/>
      <c r="D16" s="475"/>
      <c r="E16" s="410" t="str">
        <f>IF($A16=0,0,VLOOKUP($A16,INS!$A$2:$E$106,2,FALSE))</f>
        <v>BLT</v>
      </c>
      <c r="F16" s="142">
        <v>0.16</v>
      </c>
      <c r="G16" s="410">
        <f>IF($A16=0,0,VLOOKUP($A16,INS!$A$2:$G$106,6,FALSE))</f>
        <v>37000</v>
      </c>
      <c r="H16" s="29">
        <f>+F16*G16</f>
        <v>5920</v>
      </c>
    </row>
    <row r="17" spans="1:8" ht="17.399999999999999" customHeight="1">
      <c r="A17" s="478" t="s">
        <v>65</v>
      </c>
      <c r="B17" s="479"/>
      <c r="C17" s="479"/>
      <c r="D17" s="480"/>
      <c r="E17" s="410" t="str">
        <f>IF($A17=0,0,VLOOKUP($A17,INS!$A$2:$E$106,2,FALSE))</f>
        <v>M3</v>
      </c>
      <c r="F17" s="142">
        <v>0.02</v>
      </c>
      <c r="G17" s="410">
        <f>IF($A17=0,0,VLOOKUP($A17,INS!$A$2:$G$106,6,FALSE))</f>
        <v>71813</v>
      </c>
      <c r="H17" s="29">
        <f>+F17*G17</f>
        <v>1436.26</v>
      </c>
    </row>
    <row r="18" spans="1:8">
      <c r="A18" s="473" t="s">
        <v>103</v>
      </c>
      <c r="B18" s="474"/>
      <c r="C18" s="474"/>
      <c r="D18" s="475"/>
      <c r="E18" s="411" t="str">
        <f>IF($A18=0,0,VLOOKUP($A18,INS!$A$2:$E$106,2,FALSE))</f>
        <v>KG</v>
      </c>
      <c r="F18" s="142">
        <v>1.1200000000000001</v>
      </c>
      <c r="G18" s="410">
        <f>IF($A18=0,0,VLOOKUP($A18,INS!$A$2:$G$106,6,FALSE))</f>
        <v>5300</v>
      </c>
      <c r="H18" s="29">
        <f>+F18*G18</f>
        <v>5936.0000000000009</v>
      </c>
    </row>
    <row r="19" spans="1:8">
      <c r="A19" s="473"/>
      <c r="B19" s="474"/>
      <c r="C19" s="474"/>
      <c r="D19" s="475"/>
      <c r="E19" s="31"/>
      <c r="F19" s="32"/>
      <c r="G19" s="33"/>
      <c r="H19" s="29"/>
    </row>
    <row r="20" spans="1:8">
      <c r="A20" s="473"/>
      <c r="B20" s="474"/>
      <c r="C20" s="474"/>
      <c r="D20" s="475"/>
      <c r="E20" s="31"/>
      <c r="F20" s="32"/>
      <c r="G20" s="33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43312.5</v>
      </c>
      <c r="H22" s="29">
        <f>F22*G22</f>
        <v>2165.625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91453.884999999995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IF($A$27=0,0,VLOOKUP($A$27,EQUI!$A$2:$E$6,3,FALSE))</f>
        <v>0</v>
      </c>
      <c r="G27" s="142">
        <f>+IF($A$27=0,0,VLOOKUP($A$27,EQUI!$A$2:$E$6,5,FALSE))</f>
        <v>0</v>
      </c>
      <c r="H27" s="29">
        <f>F27*G27</f>
        <v>0</v>
      </c>
    </row>
    <row r="28" spans="1:8">
      <c r="A28" s="457"/>
      <c r="B28" s="458"/>
      <c r="C28" s="458"/>
      <c r="D28" s="27"/>
      <c r="E28" s="23"/>
      <c r="F28" s="23"/>
      <c r="G28" s="39"/>
      <c r="H28" s="29"/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333</v>
      </c>
      <c r="B35" s="471"/>
      <c r="C35" s="471"/>
      <c r="D35" s="146">
        <f>IF($A$35=0,0,VLOOKUP($A$35,TRANS!$A$2:$F$38,5,FALSE))</f>
        <v>1</v>
      </c>
      <c r="E35" s="46">
        <f>IF($A$35=0,0,VLOOKUP($A$35,TRANS!$A$2:$D$39,3,FALSE))</f>
        <v>195</v>
      </c>
      <c r="F35" s="169">
        <f>+F15</f>
        <v>12</v>
      </c>
      <c r="G35" s="145">
        <f>IF($A$35=0,0,VLOOKUP($A$35,TRANS!$A$2:$D$38,4,FALSE))</f>
        <v>5</v>
      </c>
      <c r="H35" s="29">
        <f>+E35*F35*G35*D35</f>
        <v>11700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11700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1.1000000000000001</v>
      </c>
      <c r="H43" s="53">
        <f>F43*G43</f>
        <v>27270.833333333336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1.1000000000000001</v>
      </c>
      <c r="H44" s="53">
        <f t="shared" ref="H44:H45" si="0">F44*G44</f>
        <v>16041.666666666668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43312.5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146466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9:C9"/>
    <mergeCell ref="A1:H1"/>
    <mergeCell ref="A3:H3"/>
    <mergeCell ref="A4:H4"/>
    <mergeCell ref="A6:A7"/>
    <mergeCell ref="B6:H7"/>
    <mergeCell ref="A26:C26"/>
    <mergeCell ref="A10:C11"/>
    <mergeCell ref="D10:H11"/>
    <mergeCell ref="A13:H13"/>
    <mergeCell ref="A14:D14"/>
    <mergeCell ref="A15:D15"/>
    <mergeCell ref="A16:D16"/>
    <mergeCell ref="A17:D17"/>
    <mergeCell ref="A18:D18"/>
    <mergeCell ref="A21:D21"/>
    <mergeCell ref="A22:D22"/>
    <mergeCell ref="A25:H25"/>
    <mergeCell ref="A19:D19"/>
    <mergeCell ref="A20:D20"/>
    <mergeCell ref="A44:C44"/>
    <mergeCell ref="A27:C27"/>
    <mergeCell ref="A29:C29"/>
    <mergeCell ref="A33:H33"/>
    <mergeCell ref="A34:C34"/>
    <mergeCell ref="A35:C35"/>
    <mergeCell ref="A36:C36"/>
    <mergeCell ref="A37:C37"/>
    <mergeCell ref="A38:C38"/>
    <mergeCell ref="A41:H41"/>
    <mergeCell ref="A42:C42"/>
    <mergeCell ref="A43:C43"/>
    <mergeCell ref="A28:C28"/>
    <mergeCell ref="A45:C45"/>
    <mergeCell ref="A48:G48"/>
    <mergeCell ref="A54:D54"/>
    <mergeCell ref="F54:H54"/>
    <mergeCell ref="A55:D55"/>
    <mergeCell ref="F55:H55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ACCF2C9F-F4AE-44E6-A4AE-953EA63EC4E9}">
          <x14:formula1>
            <xm:f>INS!$A$2:$A$89</xm:f>
          </x14:formula1>
          <xm:sqref>A15:D18</xm:sqref>
        </x14:dataValidation>
        <x14:dataValidation type="list" allowBlank="1" showInputMessage="1" showErrorMessage="1" xr:uid="{E64C7890-2A4E-4B35-8333-86B634FD6C78}">
          <x14:formula1>
            <xm:f>EQUI!$A$2:$A$38</xm:f>
          </x14:formula1>
          <xm:sqref>A27:C27</xm:sqref>
        </x14:dataValidation>
        <x14:dataValidation type="list" showInputMessage="1" showErrorMessage="1" xr:uid="{EF6ADFB9-04DA-4DF4-A60B-BC8499EE8EE6}">
          <x14:formula1>
            <xm:f>TRANS!$A$2:$A$20</xm:f>
          </x14:formula1>
          <xm:sqref>A35:C35</xm:sqref>
        </x14:dataValidation>
        <x14:dataValidation type="list" showInputMessage="1" showErrorMessage="1" xr:uid="{E2473DF4-FFEE-4AC3-AEB4-3ADA71F4A991}">
          <x14:formula1>
            <xm:f>LIST!$B$3:$B$85</xm:f>
          </x14:formula1>
          <xm:sqref>D10:H11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B8674-6FA7-4624-BEB3-7BC38A362A77}">
  <dimension ref="A1:M56"/>
  <sheetViews>
    <sheetView topLeftCell="A32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13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13" ht="15" thickTop="1">
      <c r="A2" s="20"/>
      <c r="B2" s="21"/>
      <c r="C2" s="21"/>
      <c r="D2" s="21"/>
      <c r="E2" s="21"/>
      <c r="F2" s="21"/>
      <c r="G2" s="21"/>
      <c r="H2" s="22"/>
    </row>
    <row r="3" spans="1:13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13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13" ht="25.5" customHeight="1">
      <c r="A5" s="20"/>
      <c r="B5" s="21"/>
      <c r="C5" s="21"/>
      <c r="D5" s="21"/>
      <c r="E5" s="21"/>
      <c r="F5" s="21"/>
      <c r="G5" s="21"/>
      <c r="H5" s="22"/>
    </row>
    <row r="6" spans="1:13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13" ht="24.75" customHeight="1">
      <c r="A7" s="486"/>
      <c r="B7" s="487"/>
      <c r="C7" s="487"/>
      <c r="D7" s="487"/>
      <c r="E7" s="487"/>
      <c r="F7" s="487"/>
      <c r="G7" s="487"/>
      <c r="H7" s="487"/>
    </row>
    <row r="8" spans="1:13">
      <c r="A8" s="20"/>
      <c r="B8" s="21"/>
      <c r="C8" s="21"/>
      <c r="D8" s="21"/>
      <c r="E8" s="21"/>
      <c r="F8" s="21"/>
      <c r="G8" s="21"/>
      <c r="H8" s="22"/>
    </row>
    <row r="9" spans="1:13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UND</v>
      </c>
      <c r="G9" s="24" t="s">
        <v>22</v>
      </c>
      <c r="H9" s="25">
        <v>1</v>
      </c>
    </row>
    <row r="10" spans="1:13">
      <c r="A10" s="476" t="s">
        <v>4</v>
      </c>
      <c r="B10" s="476"/>
      <c r="C10" s="476"/>
      <c r="D10" s="477" t="s">
        <v>380</v>
      </c>
      <c r="E10" s="477"/>
      <c r="F10" s="477"/>
      <c r="G10" s="477"/>
      <c r="H10" s="477"/>
    </row>
    <row r="11" spans="1:13">
      <c r="A11" s="476"/>
      <c r="B11" s="476"/>
      <c r="C11" s="476"/>
      <c r="D11" s="477"/>
      <c r="E11" s="477"/>
      <c r="F11" s="477"/>
      <c r="G11" s="477"/>
      <c r="H11" s="477"/>
    </row>
    <row r="12" spans="1:13">
      <c r="A12" s="20"/>
      <c r="B12" s="21"/>
      <c r="C12" s="21"/>
      <c r="D12" s="21"/>
      <c r="E12" s="21"/>
      <c r="F12" s="21"/>
      <c r="G12" s="21"/>
      <c r="H12" s="22"/>
    </row>
    <row r="13" spans="1:13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13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13" ht="30.6" customHeight="1">
      <c r="A15" s="478" t="s">
        <v>325</v>
      </c>
      <c r="B15" s="479"/>
      <c r="C15" s="479"/>
      <c r="D15" s="480"/>
      <c r="E15" s="410" t="str">
        <f>IF($A15=0,0,VLOOKUP($A15,INS!$A$2:$E$106,2,FALSE))</f>
        <v>GLN</v>
      </c>
      <c r="F15" s="142">
        <v>0.06</v>
      </c>
      <c r="G15" s="410">
        <f>IF($A15=0,0,VLOOKUP($A15,INS!$A$2:$G$106,6,FALSE))</f>
        <v>140667</v>
      </c>
      <c r="H15" s="29">
        <f>+F15*G15</f>
        <v>8440.02</v>
      </c>
      <c r="J15">
        <f>0.3*0.6</f>
        <v>0.18</v>
      </c>
      <c r="K15">
        <f>0.3*0.4*2</f>
        <v>0.24</v>
      </c>
      <c r="L15">
        <f>0.6*0.4*2</f>
        <v>0.48</v>
      </c>
      <c r="M15">
        <f>+J15+K15+L15</f>
        <v>0.89999999999999991</v>
      </c>
    </row>
    <row r="16" spans="1:13">
      <c r="A16" s="473" t="s">
        <v>326</v>
      </c>
      <c r="B16" s="474"/>
      <c r="C16" s="474"/>
      <c r="D16" s="475"/>
      <c r="E16" s="410" t="str">
        <f>IF($A16=0,0,VLOOKUP($A16,INS!$A$2:$E$106,2,FALSE))</f>
        <v>UND</v>
      </c>
      <c r="F16" s="142">
        <v>0.1</v>
      </c>
      <c r="G16" s="410">
        <f>IF($A16=0,0,VLOOKUP($A16,INS!$A$2:$G$106,6,FALSE))</f>
        <v>17000</v>
      </c>
      <c r="H16" s="29">
        <f>+F16*G16</f>
        <v>1700</v>
      </c>
      <c r="J16">
        <f>2*PI()*0.25</f>
        <v>1.5707963267948966</v>
      </c>
      <c r="K16">
        <f>+J16*0.6</f>
        <v>0.94247779607693793</v>
      </c>
    </row>
    <row r="17" spans="1:12" ht="26.4" customHeight="1">
      <c r="A17" s="478" t="s">
        <v>327</v>
      </c>
      <c r="B17" s="479"/>
      <c r="C17" s="479"/>
      <c r="D17" s="480"/>
      <c r="E17" s="410" t="str">
        <f>IF($A17=0,0,VLOOKUP($A17,INS!$A$2:$E$106,2,FALSE))</f>
        <v>5 GLN</v>
      </c>
      <c r="F17" s="142">
        <v>0.12</v>
      </c>
      <c r="G17" s="410">
        <f>IF($A17=0,0,VLOOKUP($A17,INS!$A$2:$G$106,6,FALSE))</f>
        <v>286000</v>
      </c>
      <c r="H17" s="29">
        <f>+F17*G17</f>
        <v>34320</v>
      </c>
      <c r="K17">
        <f>+J15+K16</f>
        <v>1.1224777960769379</v>
      </c>
    </row>
    <row r="18" spans="1:12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>+F18*G18</f>
        <v>0</v>
      </c>
      <c r="K18">
        <v>0.9</v>
      </c>
      <c r="L18">
        <f>+K18/K19</f>
        <v>4.4999999999999998E-2</v>
      </c>
    </row>
    <row r="19" spans="1:12">
      <c r="A19" s="473"/>
      <c r="B19" s="474"/>
      <c r="C19" s="474"/>
      <c r="D19" s="475"/>
      <c r="E19" s="31"/>
      <c r="F19" s="32"/>
      <c r="G19" s="33"/>
      <c r="H19" s="29"/>
      <c r="K19">
        <v>20</v>
      </c>
      <c r="L19">
        <v>1</v>
      </c>
    </row>
    <row r="20" spans="1:12">
      <c r="A20" s="473"/>
      <c r="B20" s="474"/>
      <c r="C20" s="474"/>
      <c r="D20" s="475"/>
      <c r="E20" s="411">
        <f>IF($A20=0,0,VLOOKUP($A20,INS!$A$2:$E$106,2,FALSE))</f>
        <v>0</v>
      </c>
      <c r="F20" s="142"/>
      <c r="G20" s="410">
        <f>IF($A20=0,0,VLOOKUP($A20,INS!$A$2:$G$106,6,FALSE))</f>
        <v>0</v>
      </c>
      <c r="H20" s="29">
        <f>+F20*G20</f>
        <v>0</v>
      </c>
      <c r="K20">
        <v>0.9</v>
      </c>
      <c r="L20">
        <f>+K20/K21</f>
        <v>4.4999999999999998E-2</v>
      </c>
    </row>
    <row r="21" spans="1:12">
      <c r="A21" s="473"/>
      <c r="B21" s="474"/>
      <c r="C21" s="474"/>
      <c r="D21" s="475"/>
      <c r="E21" s="31"/>
      <c r="F21" s="32"/>
      <c r="G21" s="33"/>
      <c r="H21" s="29"/>
      <c r="K21">
        <v>20</v>
      </c>
      <c r="L21">
        <v>1</v>
      </c>
    </row>
    <row r="22" spans="1:12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64750</v>
      </c>
      <c r="H22" s="29">
        <f>F22*G22</f>
        <v>3237.5</v>
      </c>
    </row>
    <row r="23" spans="1:12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47697.520000000004</v>
      </c>
    </row>
    <row r="24" spans="1:12">
      <c r="A24" s="20"/>
      <c r="B24" s="21"/>
      <c r="C24" s="21"/>
      <c r="D24" s="21"/>
      <c r="E24" s="21"/>
      <c r="F24" s="21"/>
      <c r="G24" s="21"/>
      <c r="H24" s="22"/>
    </row>
    <row r="25" spans="1:12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12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12">
      <c r="A27" s="467"/>
      <c r="B27" s="467"/>
      <c r="C27" s="467"/>
      <c r="D27" s="69"/>
      <c r="E27" s="23"/>
      <c r="F27" s="65">
        <f>IF($A$27=0,0,VLOOKUP($A$27,EQUI!$A$2:$E$6,3,FALSE))</f>
        <v>0</v>
      </c>
      <c r="G27" s="142">
        <f>+IF($A$27=0,0,VLOOKUP($A$27,EQUI!$A$2:$E$6,5,FALSE))</f>
        <v>0</v>
      </c>
      <c r="H27" s="29">
        <f>F27*G27</f>
        <v>0</v>
      </c>
    </row>
    <row r="28" spans="1:12">
      <c r="A28" s="352"/>
      <c r="B28" s="353"/>
      <c r="C28" s="353"/>
      <c r="D28" s="69"/>
      <c r="E28" s="23"/>
      <c r="F28" s="65"/>
      <c r="G28" s="142"/>
      <c r="H28" s="29"/>
    </row>
    <row r="29" spans="1:12">
      <c r="A29" s="457"/>
      <c r="B29" s="458"/>
      <c r="C29" s="458"/>
      <c r="D29" s="27"/>
      <c r="E29" s="23"/>
      <c r="F29" s="23"/>
      <c r="G29" s="39"/>
      <c r="H29" s="29"/>
    </row>
    <row r="30" spans="1:12">
      <c r="D30" s="40"/>
      <c r="E30" s="40"/>
      <c r="F30" s="40"/>
      <c r="G30" s="40"/>
      <c r="H30" s="41"/>
    </row>
    <row r="31" spans="1:12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12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IF($A$35=0,0,VLOOKUP($A$35,TRANS!$A$2:$D$39,3,FALSE))</f>
        <v>0</v>
      </c>
      <c r="F35" s="169">
        <f>+F15</f>
        <v>0.06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3" s="53">
        <f>F43*G43</f>
        <v>29750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4" s="53">
        <f t="shared" ref="H44:H45" si="0">F44*G44</f>
        <v>35000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64750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112448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8">
    <mergeCell ref="A9:C9"/>
    <mergeCell ref="A1:H1"/>
    <mergeCell ref="A3:H3"/>
    <mergeCell ref="A4:H4"/>
    <mergeCell ref="A6:A7"/>
    <mergeCell ref="B6:H7"/>
    <mergeCell ref="A26:C26"/>
    <mergeCell ref="A10:C11"/>
    <mergeCell ref="D10:H11"/>
    <mergeCell ref="A13:H13"/>
    <mergeCell ref="A14:D14"/>
    <mergeCell ref="A15:D15"/>
    <mergeCell ref="A16:D16"/>
    <mergeCell ref="A17:D17"/>
    <mergeCell ref="A20:D20"/>
    <mergeCell ref="A21:D21"/>
    <mergeCell ref="A22:D22"/>
    <mergeCell ref="A25:H25"/>
    <mergeCell ref="A18:D18"/>
    <mergeCell ref="A19:D19"/>
    <mergeCell ref="A44:C44"/>
    <mergeCell ref="A27:C27"/>
    <mergeCell ref="A29:C29"/>
    <mergeCell ref="A33:H33"/>
    <mergeCell ref="A34:C34"/>
    <mergeCell ref="A35:C35"/>
    <mergeCell ref="A36:C36"/>
    <mergeCell ref="A37:C37"/>
    <mergeCell ref="A38:C38"/>
    <mergeCell ref="A41:H41"/>
    <mergeCell ref="A42:C42"/>
    <mergeCell ref="A43:C43"/>
    <mergeCell ref="A45:C45"/>
    <mergeCell ref="A48:G48"/>
    <mergeCell ref="A54:D54"/>
    <mergeCell ref="F54:H54"/>
    <mergeCell ref="A55:D55"/>
    <mergeCell ref="F55:H55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6778827E-E3E5-4D44-ACCC-16BAE923CD09}">
          <x14:formula1>
            <xm:f>INS!$A$2:$A$89</xm:f>
          </x14:formula1>
          <xm:sqref>A15:D18 A20:D20</xm:sqref>
        </x14:dataValidation>
        <x14:dataValidation type="list" allowBlank="1" showInputMessage="1" showErrorMessage="1" xr:uid="{EAE245AE-7FC2-45B4-8906-589171FA433A}">
          <x14:formula1>
            <xm:f>EQUI!$A$2:$A$38</xm:f>
          </x14:formula1>
          <xm:sqref>A27:C28</xm:sqref>
        </x14:dataValidation>
        <x14:dataValidation type="list" showInputMessage="1" showErrorMessage="1" xr:uid="{0F93C602-1CB0-4CEE-846A-19C4C9D0DCE0}">
          <x14:formula1>
            <xm:f>TRANS!$A$2:$A$20</xm:f>
          </x14:formula1>
          <xm:sqref>A35:C35</xm:sqref>
        </x14:dataValidation>
        <x14:dataValidation type="list" showInputMessage="1" showErrorMessage="1" xr:uid="{808E0A47-7A4B-43F5-AE95-25102A870F6E}">
          <x14:formula1>
            <xm:f>LIST!$B$3:$B$85</xm:f>
          </x14:formula1>
          <xm:sqref>D10:H11</xm:sqref>
        </x14:dataValidation>
      </x14:dataValidation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678A6-2E94-40D3-A14D-EE537F0054C3}">
  <dimension ref="A1:L53"/>
  <sheetViews>
    <sheetView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11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11" ht="15" thickTop="1">
      <c r="A2" s="20"/>
      <c r="B2" s="21"/>
      <c r="C2" s="21"/>
      <c r="D2" s="21"/>
      <c r="E2" s="21"/>
      <c r="F2" s="21"/>
      <c r="G2" s="21"/>
      <c r="H2" s="22"/>
    </row>
    <row r="3" spans="1:11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11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11" ht="25.5" customHeight="1">
      <c r="A5" s="20"/>
      <c r="B5" s="21"/>
      <c r="C5" s="21"/>
      <c r="D5" s="21"/>
      <c r="E5" s="21"/>
      <c r="F5" s="21"/>
      <c r="G5" s="21"/>
      <c r="H5" s="22"/>
    </row>
    <row r="6" spans="1:11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11" ht="24.75" customHeight="1">
      <c r="A7" s="486"/>
      <c r="B7" s="487"/>
      <c r="C7" s="487"/>
      <c r="D7" s="487"/>
      <c r="E7" s="487"/>
      <c r="F7" s="487"/>
      <c r="G7" s="487"/>
      <c r="H7" s="487"/>
    </row>
    <row r="8" spans="1:11">
      <c r="A8" s="20"/>
      <c r="B8" s="21"/>
      <c r="C8" s="21"/>
      <c r="D8" s="21"/>
      <c r="E8" s="21"/>
      <c r="F8" s="21"/>
      <c r="G8" s="21"/>
      <c r="H8" s="22"/>
    </row>
    <row r="9" spans="1:11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UND</v>
      </c>
      <c r="G9" s="24" t="s">
        <v>22</v>
      </c>
      <c r="H9" s="25">
        <v>1</v>
      </c>
    </row>
    <row r="10" spans="1:11">
      <c r="A10" s="476" t="s">
        <v>4</v>
      </c>
      <c r="B10" s="476"/>
      <c r="C10" s="476"/>
      <c r="D10" s="477" t="s">
        <v>330</v>
      </c>
      <c r="E10" s="477"/>
      <c r="F10" s="477"/>
      <c r="G10" s="477"/>
      <c r="H10" s="477"/>
    </row>
    <row r="11" spans="1:11">
      <c r="A11" s="476"/>
      <c r="B11" s="476"/>
      <c r="C11" s="476"/>
      <c r="D11" s="477"/>
      <c r="E11" s="477"/>
      <c r="F11" s="477"/>
      <c r="G11" s="477"/>
      <c r="H11" s="477"/>
    </row>
    <row r="12" spans="1:11">
      <c r="A12" s="20"/>
      <c r="B12" s="21"/>
      <c r="C12" s="21"/>
      <c r="D12" s="21"/>
      <c r="E12" s="21"/>
      <c r="F12" s="21"/>
      <c r="G12" s="21"/>
      <c r="H12" s="22"/>
    </row>
    <row r="13" spans="1:11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11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11" ht="30.6" customHeight="1">
      <c r="A15" s="478" t="s">
        <v>325</v>
      </c>
      <c r="B15" s="479"/>
      <c r="C15" s="479"/>
      <c r="D15" s="480"/>
      <c r="E15" s="410" t="str">
        <f>IF($A15=0,0,VLOOKUP($A15,INS!$A$2:$E$106,2,FALSE))</f>
        <v>GLN</v>
      </c>
      <c r="F15" s="142">
        <v>0.05</v>
      </c>
      <c r="G15" s="410">
        <f>IF($A15=0,0,VLOOKUP($A15,INS!$A$2:$G$106,6,FALSE))</f>
        <v>140667</v>
      </c>
      <c r="H15" s="29">
        <f>+F15*G15</f>
        <v>7033.35</v>
      </c>
      <c r="J15">
        <f>+(PI()/4)*(0.5^2)</f>
        <v>0.19634954084936207</v>
      </c>
    </row>
    <row r="16" spans="1:11">
      <c r="A16" s="473" t="s">
        <v>326</v>
      </c>
      <c r="B16" s="474"/>
      <c r="C16" s="474"/>
      <c r="D16" s="475"/>
      <c r="E16" s="410" t="str">
        <f>IF($A16=0,0,VLOOKUP($A16,INS!$A$2:$E$106,2,FALSE))</f>
        <v>UND</v>
      </c>
      <c r="F16" s="142">
        <v>0.1</v>
      </c>
      <c r="G16" s="410">
        <f>IF($A16=0,0,VLOOKUP($A16,INS!$A$2:$G$106,6,FALSE))</f>
        <v>17000</v>
      </c>
      <c r="H16" s="29">
        <f>+F16*G16</f>
        <v>1700</v>
      </c>
      <c r="J16">
        <f>2*PI()*0.25</f>
        <v>1.5707963267948966</v>
      </c>
      <c r="K16">
        <f>+J16*0.6</f>
        <v>0.94247779607693793</v>
      </c>
    </row>
    <row r="17" spans="1:12" ht="26.4" customHeight="1">
      <c r="A17" s="478" t="s">
        <v>327</v>
      </c>
      <c r="B17" s="479"/>
      <c r="C17" s="479"/>
      <c r="D17" s="480"/>
      <c r="E17" s="410" t="str">
        <f>IF($A17=0,0,VLOOKUP($A17,INS!$A$2:$E$106,2,FALSE))</f>
        <v>5 GLN</v>
      </c>
      <c r="F17" s="142">
        <v>0.1</v>
      </c>
      <c r="G17" s="410">
        <f>IF($A17=0,0,VLOOKUP($A17,INS!$A$2:$G$106,6,FALSE))</f>
        <v>286000</v>
      </c>
      <c r="H17" s="29">
        <f>+F17*G17</f>
        <v>28600</v>
      </c>
      <c r="K17">
        <f>+J15+K16</f>
        <v>1.1388273369263</v>
      </c>
    </row>
    <row r="18" spans="1:12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>+F18*G18</f>
        <v>0</v>
      </c>
      <c r="K18">
        <v>1.2</v>
      </c>
      <c r="L18">
        <f>+K18/K19</f>
        <v>0.19999999999999998</v>
      </c>
    </row>
    <row r="19" spans="1:12">
      <c r="A19" s="473"/>
      <c r="B19" s="474"/>
      <c r="C19" s="474"/>
      <c r="D19" s="475"/>
      <c r="E19" s="31"/>
      <c r="F19" s="32"/>
      <c r="G19" s="33"/>
      <c r="H19" s="29"/>
      <c r="K19">
        <v>6</v>
      </c>
      <c r="L19">
        <v>1</v>
      </c>
    </row>
    <row r="20" spans="1:12">
      <c r="A20" s="473" t="s">
        <v>33</v>
      </c>
      <c r="B20" s="474"/>
      <c r="C20" s="474"/>
      <c r="D20" s="475"/>
      <c r="E20" s="34" t="s">
        <v>34</v>
      </c>
      <c r="F20" s="35">
        <v>0.05</v>
      </c>
      <c r="G20" s="36">
        <f>H43</f>
        <v>64750</v>
      </c>
      <c r="H20" s="29">
        <f>F20*G20</f>
        <v>3237.5</v>
      </c>
    </row>
    <row r="21" spans="1:12">
      <c r="A21" s="20"/>
      <c r="B21" s="21"/>
      <c r="C21" s="21"/>
      <c r="D21" s="21"/>
      <c r="E21" s="21"/>
      <c r="F21" s="21"/>
      <c r="G21" s="37" t="s">
        <v>35</v>
      </c>
      <c r="H21" s="38">
        <f>SUM(H15:H20)</f>
        <v>40570.85</v>
      </c>
    </row>
    <row r="22" spans="1:12">
      <c r="A22" s="20"/>
      <c r="B22" s="21"/>
      <c r="C22" s="21"/>
      <c r="D22" s="21"/>
      <c r="E22" s="21"/>
      <c r="F22" s="21"/>
      <c r="G22" s="21"/>
      <c r="H22" s="22"/>
    </row>
    <row r="23" spans="1:12">
      <c r="A23" s="463" t="s">
        <v>36</v>
      </c>
      <c r="B23" s="463"/>
      <c r="C23" s="463"/>
      <c r="D23" s="463"/>
      <c r="E23" s="463"/>
      <c r="F23" s="463"/>
      <c r="G23" s="463"/>
      <c r="H23" s="463"/>
    </row>
    <row r="24" spans="1:12">
      <c r="A24" s="465" t="s">
        <v>4</v>
      </c>
      <c r="B24" s="466"/>
      <c r="C24" s="466"/>
      <c r="D24" s="24" t="s">
        <v>37</v>
      </c>
      <c r="E24" s="24" t="s">
        <v>5</v>
      </c>
      <c r="F24" s="24" t="s">
        <v>38</v>
      </c>
      <c r="G24" s="24" t="s">
        <v>39</v>
      </c>
      <c r="H24" s="26" t="s">
        <v>32</v>
      </c>
    </row>
    <row r="25" spans="1:12">
      <c r="A25" s="467"/>
      <c r="B25" s="467"/>
      <c r="C25" s="467"/>
      <c r="D25" s="69"/>
      <c r="E25" s="23"/>
      <c r="F25" s="65">
        <f>IF($A$25=0,0,VLOOKUP($A$25,EQUI!$A$2:$E$6,3,FALSE))</f>
        <v>0</v>
      </c>
      <c r="G25" s="142">
        <f>+IF($A$25=0,0,VLOOKUP($A$25,EQUI!$A$2:$E$6,5,FALSE))</f>
        <v>0</v>
      </c>
      <c r="H25" s="29">
        <f>F25*G25</f>
        <v>0</v>
      </c>
    </row>
    <row r="26" spans="1:12">
      <c r="A26" s="457"/>
      <c r="B26" s="458"/>
      <c r="C26" s="458"/>
      <c r="D26" s="27"/>
      <c r="E26" s="23"/>
      <c r="F26" s="23"/>
      <c r="G26" s="39"/>
      <c r="H26" s="29"/>
    </row>
    <row r="27" spans="1:12">
      <c r="D27" s="40"/>
      <c r="E27" s="40"/>
      <c r="F27" s="40"/>
      <c r="G27" s="40"/>
      <c r="H27" s="41"/>
    </row>
    <row r="28" spans="1:12">
      <c r="A28" s="20"/>
      <c r="B28" s="21"/>
      <c r="C28" s="21"/>
      <c r="D28" s="21"/>
      <c r="E28" s="21"/>
      <c r="F28" s="21"/>
      <c r="G28" s="42" t="s">
        <v>35</v>
      </c>
      <c r="H28" s="38">
        <f>SUM(H25:H27)</f>
        <v>0</v>
      </c>
    </row>
    <row r="29" spans="1:12">
      <c r="A29" s="20"/>
      <c r="B29" s="21"/>
      <c r="C29" s="21"/>
      <c r="D29" s="21"/>
      <c r="E29" s="21"/>
      <c r="F29" s="21"/>
      <c r="G29" s="43"/>
      <c r="H29" s="44"/>
    </row>
    <row r="30" spans="1:12">
      <c r="A30" s="468" t="s">
        <v>40</v>
      </c>
      <c r="B30" s="469"/>
      <c r="C30" s="469"/>
      <c r="D30" s="469"/>
      <c r="E30" s="469"/>
      <c r="F30" s="469"/>
      <c r="G30" s="469"/>
      <c r="H30" s="470"/>
    </row>
    <row r="31" spans="1:12">
      <c r="A31" s="465" t="s">
        <v>41</v>
      </c>
      <c r="B31" s="466"/>
      <c r="C31" s="466"/>
      <c r="D31" s="24" t="s">
        <v>308</v>
      </c>
      <c r="E31" s="24" t="s">
        <v>43</v>
      </c>
      <c r="F31" s="24" t="s">
        <v>44</v>
      </c>
      <c r="G31" s="24" t="s">
        <v>45</v>
      </c>
      <c r="H31" s="26" t="s">
        <v>32</v>
      </c>
    </row>
    <row r="32" spans="1:12" ht="27.6" customHeight="1">
      <c r="A32" s="471"/>
      <c r="B32" s="471"/>
      <c r="C32" s="471"/>
      <c r="D32" s="146">
        <f>IF($A$32=0,0,VLOOKUP($A$32,TRANS!$A$2:$F$38,5,FALSE))</f>
        <v>0</v>
      </c>
      <c r="E32" s="46">
        <f>IF($A$32=0,0,VLOOKUP($A$32,TRANS!$A$2:$D$39,3,FALSE))</f>
        <v>0</v>
      </c>
      <c r="F32" s="169">
        <f>+F15</f>
        <v>0.05</v>
      </c>
      <c r="G32" s="145">
        <f>IF($A$32=0,0,VLOOKUP($A$32,TRANS!$A$2:$D$38,4,FALSE))</f>
        <v>0</v>
      </c>
      <c r="H32" s="29">
        <f>+E32*F32*G32*D32</f>
        <v>0</v>
      </c>
    </row>
    <row r="33" spans="1:8">
      <c r="A33" s="472"/>
      <c r="B33" s="472"/>
      <c r="C33" s="472"/>
      <c r="D33" s="45"/>
      <c r="E33" s="23"/>
      <c r="F33" s="23"/>
      <c r="G33" s="47"/>
      <c r="H33" s="29"/>
    </row>
    <row r="34" spans="1:8">
      <c r="A34" s="457"/>
      <c r="B34" s="458"/>
      <c r="C34" s="458"/>
      <c r="D34" s="48"/>
      <c r="E34" s="23"/>
      <c r="F34" s="23"/>
      <c r="G34" s="49"/>
      <c r="H34" s="29"/>
    </row>
    <row r="35" spans="1:8">
      <c r="A35" s="457"/>
      <c r="B35" s="458"/>
      <c r="C35" s="458"/>
      <c r="D35" s="40"/>
      <c r="E35" s="40"/>
      <c r="F35" s="40"/>
      <c r="G35" s="40"/>
      <c r="H35" s="41"/>
    </row>
    <row r="36" spans="1:8">
      <c r="A36" s="20"/>
      <c r="B36" s="21"/>
      <c r="C36" s="21"/>
      <c r="D36" s="21"/>
      <c r="E36" s="21"/>
      <c r="F36" s="21"/>
      <c r="G36" s="50" t="s">
        <v>35</v>
      </c>
      <c r="H36" s="38">
        <f>SUM(H32:H35)</f>
        <v>0</v>
      </c>
    </row>
    <row r="37" spans="1:8">
      <c r="A37" s="20"/>
      <c r="B37" s="21"/>
      <c r="C37" s="21"/>
      <c r="D37" s="21"/>
      <c r="E37" s="21"/>
      <c r="F37" s="21"/>
      <c r="G37" s="43"/>
      <c r="H37" s="44"/>
    </row>
    <row r="38" spans="1:8">
      <c r="A38" s="463" t="s">
        <v>46</v>
      </c>
      <c r="B38" s="463"/>
      <c r="C38" s="463"/>
      <c r="D38" s="463"/>
      <c r="E38" s="463"/>
      <c r="F38" s="463"/>
      <c r="G38" s="464"/>
      <c r="H38" s="464"/>
    </row>
    <row r="39" spans="1:8" ht="27.6">
      <c r="A39" s="455" t="s">
        <v>4</v>
      </c>
      <c r="B39" s="456"/>
      <c r="C39" s="456"/>
      <c r="D39" s="51" t="s">
        <v>47</v>
      </c>
      <c r="E39" s="26" t="s">
        <v>22</v>
      </c>
      <c r="F39" s="26" t="s">
        <v>49</v>
      </c>
      <c r="G39" s="26" t="s">
        <v>50</v>
      </c>
      <c r="H39" s="26" t="s">
        <v>32</v>
      </c>
    </row>
    <row r="40" spans="1:8">
      <c r="A40" s="457" t="s">
        <v>51</v>
      </c>
      <c r="B40" s="458"/>
      <c r="C40" s="458"/>
      <c r="D40" s="52">
        <f>MO!F31/8</f>
        <v>24791.666666666668</v>
      </c>
      <c r="E40" s="23">
        <v>1</v>
      </c>
      <c r="F40" s="28">
        <f>D40*E40</f>
        <v>24791.666666666668</v>
      </c>
      <c r="G40" s="27">
        <f>+IF(AND($E$40=1,$E$41=1),VLOOKUP($D$10,'REND'!$B$4:$I$43,4,FALSE),IF(AND($E$40=1,$E$41=2),VLOOKUP($D$10,'REND'!$B$4:$I$43,5,FALSE),IF(AND($E$40=1,$E$41=3),VLOOKUP($D$10,'REND'!$B$4:$I$43,6,FALSE),IF(AND($E$40=1,$E$41=4),VLOOKUP($D$10,'REND'!$B$4:$I$43,7,FALSE),0))))</f>
        <v>1.2</v>
      </c>
      <c r="H40" s="53">
        <f>F40*G40</f>
        <v>29750</v>
      </c>
    </row>
    <row r="41" spans="1:8">
      <c r="A41" s="457" t="s">
        <v>52</v>
      </c>
      <c r="B41" s="458"/>
      <c r="C41" s="458"/>
      <c r="D41" s="52">
        <f>MO!F14/8</f>
        <v>14583.333333333334</v>
      </c>
      <c r="E41" s="23">
        <v>2</v>
      </c>
      <c r="F41" s="28">
        <f>D41*E41</f>
        <v>29166.666666666668</v>
      </c>
      <c r="G41" s="27">
        <f>+IF(AND($E$40=1,$E$41=1),VLOOKUP($D$10,'REND'!$B$4:$I$43,4,FALSE),IF(AND($E$40=1,$E$41=2),VLOOKUP($D$10,'REND'!$B$4:$I$43,5,FALSE),IF(AND($E$40=1,$E$41=3),VLOOKUP($D$10,'REND'!$B$4:$I$43,6,FALSE),IF(AND($E$40=1,$E$41=4),VLOOKUP($D$10,'REND'!$B$4:$I$43,7,FALSE),0))))</f>
        <v>1.2</v>
      </c>
      <c r="H41" s="53">
        <f t="shared" ref="H41:H42" si="0">F41*G41</f>
        <v>35000</v>
      </c>
    </row>
    <row r="42" spans="1:8">
      <c r="A42" s="457"/>
      <c r="B42" s="458"/>
      <c r="C42" s="458"/>
      <c r="D42" s="40"/>
      <c r="E42" s="40"/>
      <c r="F42" s="54"/>
      <c r="G42" s="40"/>
      <c r="H42" s="53">
        <f t="shared" si="0"/>
        <v>0</v>
      </c>
    </row>
    <row r="43" spans="1:8">
      <c r="A43" s="20"/>
      <c r="B43" s="21"/>
      <c r="C43" s="21"/>
      <c r="D43" s="21"/>
      <c r="E43" s="21"/>
      <c r="F43" s="21"/>
      <c r="G43" s="42" t="s">
        <v>35</v>
      </c>
      <c r="H43" s="53">
        <f>SUM(H40:H42)</f>
        <v>64750</v>
      </c>
    </row>
    <row r="44" spans="1:8">
      <c r="A44" s="20"/>
      <c r="B44" s="21"/>
      <c r="C44" s="21"/>
      <c r="D44" s="21"/>
      <c r="E44" s="21"/>
      <c r="F44" s="21"/>
      <c r="G44" s="21"/>
      <c r="H44" s="22"/>
    </row>
    <row r="45" spans="1:8">
      <c r="A45" s="459" t="s">
        <v>53</v>
      </c>
      <c r="B45" s="459"/>
      <c r="C45" s="459"/>
      <c r="D45" s="459"/>
      <c r="E45" s="459"/>
      <c r="F45" s="459"/>
      <c r="G45" s="459"/>
      <c r="H45" s="29">
        <f>ROUND(H21+H28+H36+H43,0)</f>
        <v>105321</v>
      </c>
    </row>
    <row r="46" spans="1:8">
      <c r="A46" s="55"/>
      <c r="B46" s="56"/>
      <c r="C46" s="56"/>
      <c r="D46" s="56"/>
      <c r="E46" s="56"/>
      <c r="F46" s="56"/>
      <c r="G46" s="56"/>
      <c r="H46" s="57"/>
    </row>
    <row r="47" spans="1:8">
      <c r="A47" s="55"/>
      <c r="B47" s="56"/>
      <c r="C47" s="56"/>
      <c r="D47" s="56"/>
      <c r="E47" s="56"/>
      <c r="F47" s="56"/>
      <c r="G47" s="56"/>
      <c r="H47" s="57"/>
    </row>
    <row r="48" spans="1:8">
      <c r="A48" s="55"/>
      <c r="B48" s="56"/>
      <c r="C48" s="56"/>
      <c r="D48" s="56"/>
      <c r="E48" s="56"/>
      <c r="F48" s="56"/>
      <c r="G48" s="56"/>
      <c r="H48" s="57"/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8"/>
      <c r="B50" s="59"/>
      <c r="C50" s="59"/>
      <c r="D50" s="59"/>
      <c r="E50" s="59"/>
      <c r="F50" s="59"/>
      <c r="G50" s="59"/>
      <c r="H50" s="60"/>
    </row>
    <row r="51" spans="1:8">
      <c r="A51" s="460" t="s">
        <v>292</v>
      </c>
      <c r="B51" s="461"/>
      <c r="C51" s="461"/>
      <c r="D51" s="461"/>
      <c r="E51" s="59"/>
      <c r="F51" s="461" t="s">
        <v>310</v>
      </c>
      <c r="G51" s="461"/>
      <c r="H51" s="462"/>
    </row>
    <row r="52" spans="1:8">
      <c r="A52" s="451" t="s">
        <v>291</v>
      </c>
      <c r="B52" s="452"/>
      <c r="C52" s="452"/>
      <c r="D52" s="452"/>
      <c r="E52" s="59"/>
      <c r="F52" s="453" t="s">
        <v>54</v>
      </c>
      <c r="G52" s="453"/>
      <c r="H52" s="454"/>
    </row>
    <row r="53" spans="1:8">
      <c r="A53" s="61"/>
      <c r="B53" s="62"/>
      <c r="C53" s="62"/>
      <c r="D53" s="62"/>
      <c r="E53" s="62"/>
      <c r="F53" s="62"/>
      <c r="G53" s="62"/>
      <c r="H53" s="63"/>
    </row>
  </sheetData>
  <mergeCells count="36">
    <mergeCell ref="A9:C9"/>
    <mergeCell ref="A1:H1"/>
    <mergeCell ref="A3:H3"/>
    <mergeCell ref="A4:H4"/>
    <mergeCell ref="A6:A7"/>
    <mergeCell ref="B6:H7"/>
    <mergeCell ref="A24:C24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3:H23"/>
    <mergeCell ref="A41:C41"/>
    <mergeCell ref="A25:C25"/>
    <mergeCell ref="A26:C26"/>
    <mergeCell ref="A30:H30"/>
    <mergeCell ref="A31:C31"/>
    <mergeCell ref="A32:C32"/>
    <mergeCell ref="A33:C33"/>
    <mergeCell ref="A34:C34"/>
    <mergeCell ref="A35:C35"/>
    <mergeCell ref="A38:H38"/>
    <mergeCell ref="A39:C39"/>
    <mergeCell ref="A40:C40"/>
    <mergeCell ref="A42:C42"/>
    <mergeCell ref="A45:G45"/>
    <mergeCell ref="A51:D51"/>
    <mergeCell ref="F51:H51"/>
    <mergeCell ref="A52:D52"/>
    <mergeCell ref="F52:H52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E89416FA-6B24-4A6E-9CC0-BFAA290345DA}">
          <x14:formula1>
            <xm:f>TRANS!$A$2:$A$20</xm:f>
          </x14:formula1>
          <xm:sqref>A32:C32</xm:sqref>
        </x14:dataValidation>
        <x14:dataValidation type="list" allowBlank="1" showInputMessage="1" showErrorMessage="1" xr:uid="{5EA8C902-50C3-4D59-BD5E-3F23C3952088}">
          <x14:formula1>
            <xm:f>EQUI!$A$2:$A$38</xm:f>
          </x14:formula1>
          <xm:sqref>A25:C25</xm:sqref>
        </x14:dataValidation>
        <x14:dataValidation type="list" showInputMessage="1" showErrorMessage="1" xr:uid="{899ED576-D7B9-4631-8AF6-5B94D539CF56}">
          <x14:formula1>
            <xm:f>INS!$A$2:$A$89</xm:f>
          </x14:formula1>
          <xm:sqref>A15:D18</xm:sqref>
        </x14:dataValidation>
        <x14:dataValidation type="list" showInputMessage="1" showErrorMessage="1" xr:uid="{AC74D585-2AD0-4301-BDDC-5F390C13E66E}">
          <x14:formula1>
            <xm:f>LIST!$B$3:$B$85</xm:f>
          </x14:formula1>
          <xm:sqref>D10:H11</xm:sqref>
        </x14:dataValidation>
      </x14:dataValidation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52A54-D3F9-4696-8323-140E1DD7C496}">
  <dimension ref="A1:H53"/>
  <sheetViews>
    <sheetView topLeftCell="A12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317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 ht="30.6" customHeight="1">
      <c r="A15" s="478" t="s">
        <v>317</v>
      </c>
      <c r="B15" s="479"/>
      <c r="C15" s="479"/>
      <c r="D15" s="480"/>
      <c r="E15" s="410" t="str">
        <f>IF($A15=0,0,VLOOKUP($A15,INS!$A$2:$E$106,2,FALSE))</f>
        <v>UND</v>
      </c>
      <c r="F15" s="142">
        <v>25</v>
      </c>
      <c r="G15" s="410">
        <f>IF($A15=0,0,VLOOKUP($A15,INS!$A$2:$G$106,6,FALSE))</f>
        <v>3900</v>
      </c>
      <c r="H15" s="29">
        <f>+F15*G15</f>
        <v>97500</v>
      </c>
    </row>
    <row r="16" spans="1:8">
      <c r="A16" s="473" t="s">
        <v>65</v>
      </c>
      <c r="B16" s="474"/>
      <c r="C16" s="474"/>
      <c r="D16" s="475"/>
      <c r="E16" s="410" t="str">
        <f>IF($A16=0,0,VLOOKUP($A16,INS!$A$2:$E$106,2,FALSE))</f>
        <v>M3</v>
      </c>
      <c r="F16" s="142">
        <v>0.04</v>
      </c>
      <c r="G16" s="410">
        <f>IF($A16=0,0,VLOOKUP($A16,INS!$A$2:$G$106,6,FALSE))</f>
        <v>71813</v>
      </c>
      <c r="H16" s="29">
        <f>+F16*G16</f>
        <v>2872.52</v>
      </c>
    </row>
    <row r="17" spans="1:8">
      <c r="A17" s="473" t="s">
        <v>72</v>
      </c>
      <c r="B17" s="474"/>
      <c r="C17" s="474"/>
      <c r="D17" s="475"/>
      <c r="E17" s="410" t="str">
        <f>IF($A17=0,0,VLOOKUP($A17,INS!$A$2:$E$106,2,FALSE))</f>
        <v>BLT</v>
      </c>
      <c r="F17" s="142">
        <v>0.28000000000000003</v>
      </c>
      <c r="G17" s="410">
        <f>IF($A17=0,0,VLOOKUP($A17,INS!$A$2:$G$106,6,FALSE))</f>
        <v>37000</v>
      </c>
      <c r="H17" s="29">
        <f>+F17*G17</f>
        <v>10360.000000000002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>+F18*G18</f>
        <v>0</v>
      </c>
    </row>
    <row r="19" spans="1:8">
      <c r="A19" s="473"/>
      <c r="B19" s="474"/>
      <c r="C19" s="474"/>
      <c r="D19" s="475"/>
      <c r="E19" s="31"/>
      <c r="F19" s="32"/>
      <c r="G19" s="33"/>
      <c r="H19" s="29"/>
    </row>
    <row r="20" spans="1:8">
      <c r="A20" s="473" t="s">
        <v>33</v>
      </c>
      <c r="B20" s="474"/>
      <c r="C20" s="474"/>
      <c r="D20" s="475"/>
      <c r="E20" s="34" t="s">
        <v>34</v>
      </c>
      <c r="F20" s="35">
        <v>0.05</v>
      </c>
      <c r="G20" s="36">
        <f>H43</f>
        <v>53958.333333333336</v>
      </c>
      <c r="H20" s="29">
        <f>F20*G20</f>
        <v>2697.916666666667</v>
      </c>
    </row>
    <row r="21" spans="1:8">
      <c r="A21" s="20"/>
      <c r="B21" s="21"/>
      <c r="C21" s="21"/>
      <c r="D21" s="21"/>
      <c r="E21" s="21"/>
      <c r="F21" s="21"/>
      <c r="G21" s="37" t="s">
        <v>35</v>
      </c>
      <c r="H21" s="38">
        <f>SUM(H15:H20)</f>
        <v>113430.43666666668</v>
      </c>
    </row>
    <row r="22" spans="1:8">
      <c r="A22" s="20"/>
      <c r="B22" s="21"/>
      <c r="C22" s="21"/>
      <c r="D22" s="21"/>
      <c r="E22" s="21"/>
      <c r="F22" s="21"/>
      <c r="G22" s="21"/>
      <c r="H22" s="22"/>
    </row>
    <row r="23" spans="1:8">
      <c r="A23" s="463" t="s">
        <v>36</v>
      </c>
      <c r="B23" s="463"/>
      <c r="C23" s="463"/>
      <c r="D23" s="463"/>
      <c r="E23" s="463"/>
      <c r="F23" s="463"/>
      <c r="G23" s="463"/>
      <c r="H23" s="463"/>
    </row>
    <row r="24" spans="1:8">
      <c r="A24" s="465" t="s">
        <v>4</v>
      </c>
      <c r="B24" s="466"/>
      <c r="C24" s="466"/>
      <c r="D24" s="24" t="s">
        <v>37</v>
      </c>
      <c r="E24" s="24" t="s">
        <v>5</v>
      </c>
      <c r="F24" s="24" t="s">
        <v>38</v>
      </c>
      <c r="G24" s="24" t="s">
        <v>39</v>
      </c>
      <c r="H24" s="26" t="s">
        <v>32</v>
      </c>
    </row>
    <row r="25" spans="1:8">
      <c r="A25" s="467"/>
      <c r="B25" s="467"/>
      <c r="C25" s="467"/>
      <c r="D25" s="69"/>
      <c r="E25" s="23"/>
      <c r="F25" s="65">
        <f>IF($A$25=0,0,VLOOKUP($A$25,EQUI!$A$2:$E$6,3,FALSE))</f>
        <v>0</v>
      </c>
      <c r="G25" s="142">
        <f>+IF($A$25=0,0,VLOOKUP($A$25,EQUI!$A$2:$E$6,5,FALSE))</f>
        <v>0</v>
      </c>
      <c r="H25" s="29">
        <f>F25*G25</f>
        <v>0</v>
      </c>
    </row>
    <row r="26" spans="1:8">
      <c r="A26" s="457"/>
      <c r="B26" s="458"/>
      <c r="C26" s="458"/>
      <c r="D26" s="27"/>
      <c r="E26" s="23"/>
      <c r="F26" s="23"/>
      <c r="G26" s="39"/>
      <c r="H26" s="29"/>
    </row>
    <row r="27" spans="1:8">
      <c r="D27" s="40"/>
      <c r="E27" s="40"/>
      <c r="F27" s="40"/>
      <c r="G27" s="40"/>
      <c r="H27" s="41"/>
    </row>
    <row r="28" spans="1:8">
      <c r="A28" s="20"/>
      <c r="B28" s="21"/>
      <c r="C28" s="21"/>
      <c r="D28" s="21"/>
      <c r="E28" s="21"/>
      <c r="F28" s="21"/>
      <c r="G28" s="42" t="s">
        <v>35</v>
      </c>
      <c r="H28" s="38">
        <f>SUM(H25:H27)</f>
        <v>0</v>
      </c>
    </row>
    <row r="29" spans="1:8">
      <c r="A29" s="20"/>
      <c r="B29" s="21"/>
      <c r="C29" s="21"/>
      <c r="D29" s="21"/>
      <c r="E29" s="21"/>
      <c r="F29" s="21"/>
      <c r="G29" s="43"/>
      <c r="H29" s="44"/>
    </row>
    <row r="30" spans="1:8">
      <c r="A30" s="468" t="s">
        <v>40</v>
      </c>
      <c r="B30" s="469"/>
      <c r="C30" s="469"/>
      <c r="D30" s="469"/>
      <c r="E30" s="469"/>
      <c r="F30" s="469"/>
      <c r="G30" s="469"/>
      <c r="H30" s="470"/>
    </row>
    <row r="31" spans="1:8">
      <c r="A31" s="465" t="s">
        <v>41</v>
      </c>
      <c r="B31" s="466"/>
      <c r="C31" s="466"/>
      <c r="D31" s="24" t="s">
        <v>308</v>
      </c>
      <c r="E31" s="24" t="s">
        <v>43</v>
      </c>
      <c r="F31" s="24" t="s">
        <v>44</v>
      </c>
      <c r="G31" s="24" t="s">
        <v>45</v>
      </c>
      <c r="H31" s="26" t="s">
        <v>32</v>
      </c>
    </row>
    <row r="32" spans="1:8" ht="27.6" customHeight="1">
      <c r="A32" s="471" t="s">
        <v>323</v>
      </c>
      <c r="B32" s="471"/>
      <c r="C32" s="471"/>
      <c r="D32" s="146">
        <f>IF($A$32=0,0,VLOOKUP($A$32,TRANS!$A$2:$F$38,5,FALSE))</f>
        <v>1</v>
      </c>
      <c r="E32" s="46">
        <f>IF($A$32=0,0,VLOOKUP($A$32,TRANS!$A$2:$D$39,3,FALSE))</f>
        <v>195</v>
      </c>
      <c r="F32" s="169">
        <f>+F15</f>
        <v>25</v>
      </c>
      <c r="G32" s="145">
        <f>IF($A$32=0,0,VLOOKUP($A$32,TRANS!$A$2:$D$38,4,FALSE))</f>
        <v>5</v>
      </c>
      <c r="H32" s="29">
        <f>+E32*F32*G32*D32</f>
        <v>24375</v>
      </c>
    </row>
    <row r="33" spans="1:8">
      <c r="A33" s="472"/>
      <c r="B33" s="472"/>
      <c r="C33" s="472"/>
      <c r="D33" s="45"/>
      <c r="E33" s="23"/>
      <c r="F33" s="23"/>
      <c r="G33" s="47"/>
      <c r="H33" s="29"/>
    </row>
    <row r="34" spans="1:8">
      <c r="A34" s="457"/>
      <c r="B34" s="458"/>
      <c r="C34" s="458"/>
      <c r="D34" s="48"/>
      <c r="E34" s="23"/>
      <c r="F34" s="23"/>
      <c r="G34" s="49"/>
      <c r="H34" s="29"/>
    </row>
    <row r="35" spans="1:8">
      <c r="A35" s="457"/>
      <c r="B35" s="458"/>
      <c r="C35" s="458"/>
      <c r="D35" s="40"/>
      <c r="E35" s="40"/>
      <c r="F35" s="40"/>
      <c r="G35" s="40"/>
      <c r="H35" s="41"/>
    </row>
    <row r="36" spans="1:8">
      <c r="A36" s="20"/>
      <c r="B36" s="21"/>
      <c r="C36" s="21"/>
      <c r="D36" s="21"/>
      <c r="E36" s="21"/>
      <c r="F36" s="21"/>
      <c r="G36" s="50" t="s">
        <v>35</v>
      </c>
      <c r="H36" s="38">
        <f>SUM(H32:H35)</f>
        <v>24375</v>
      </c>
    </row>
    <row r="37" spans="1:8">
      <c r="A37" s="20"/>
      <c r="B37" s="21"/>
      <c r="C37" s="21"/>
      <c r="D37" s="21"/>
      <c r="E37" s="21"/>
      <c r="F37" s="21"/>
      <c r="G37" s="43"/>
      <c r="H37" s="44"/>
    </row>
    <row r="38" spans="1:8">
      <c r="A38" s="463" t="s">
        <v>46</v>
      </c>
      <c r="B38" s="463"/>
      <c r="C38" s="463"/>
      <c r="D38" s="463"/>
      <c r="E38" s="463"/>
      <c r="F38" s="463"/>
      <c r="G38" s="464"/>
      <c r="H38" s="464"/>
    </row>
    <row r="39" spans="1:8" ht="27.6">
      <c r="A39" s="455" t="s">
        <v>4</v>
      </c>
      <c r="B39" s="456"/>
      <c r="C39" s="456"/>
      <c r="D39" s="51" t="s">
        <v>47</v>
      </c>
      <c r="E39" s="26" t="s">
        <v>22</v>
      </c>
      <c r="F39" s="26" t="s">
        <v>49</v>
      </c>
      <c r="G39" s="26" t="s">
        <v>50</v>
      </c>
      <c r="H39" s="26" t="s">
        <v>32</v>
      </c>
    </row>
    <row r="40" spans="1:8">
      <c r="A40" s="457" t="s">
        <v>51</v>
      </c>
      <c r="B40" s="458"/>
      <c r="C40" s="458"/>
      <c r="D40" s="52">
        <f>MO!F31/8</f>
        <v>24791.666666666668</v>
      </c>
      <c r="E40" s="23">
        <v>1</v>
      </c>
      <c r="F40" s="28">
        <f>D40*E40</f>
        <v>24791.666666666668</v>
      </c>
      <c r="G40" s="27">
        <f>+IF(AND($E$40=1,$E$41=1),VLOOKUP($D$10,'REND'!$B$4:$I$43,4,FALSE),IF(AND($E$40=1,$E$41=2),VLOOKUP($D$10,'REND'!$B$4:$I$43,5,FALSE),IF(AND($E$40=1,$E$41=3),VLOOKUP($D$10,'REND'!$B$4:$I$43,6,FALSE),IF(AND($E$40=1,$E$41=4),VLOOKUP($D$10,'REND'!$B$4:$I$43,7,FALSE),0))))</f>
        <v>1</v>
      </c>
      <c r="H40" s="53">
        <f>F40*G40</f>
        <v>24791.666666666668</v>
      </c>
    </row>
    <row r="41" spans="1:8">
      <c r="A41" s="457" t="s">
        <v>52</v>
      </c>
      <c r="B41" s="458"/>
      <c r="C41" s="458"/>
      <c r="D41" s="52">
        <f>MO!F14/8</f>
        <v>14583.333333333334</v>
      </c>
      <c r="E41" s="23">
        <v>2</v>
      </c>
      <c r="F41" s="28">
        <f>D41*E41</f>
        <v>29166.666666666668</v>
      </c>
      <c r="G41" s="27">
        <f>+IF(AND($E$40=1,$E$41=1),VLOOKUP($D$10,'REND'!$B$4:$I$43,4,FALSE),IF(AND($E$40=1,$E$41=2),VLOOKUP($D$10,'REND'!$B$4:$I$43,5,FALSE),IF(AND($E$40=1,$E$41=3),VLOOKUP($D$10,'REND'!$B$4:$I$43,6,FALSE),IF(AND($E$40=1,$E$41=4),VLOOKUP($D$10,'REND'!$B$4:$I$43,7,FALSE),0))))</f>
        <v>1</v>
      </c>
      <c r="H41" s="53">
        <f t="shared" ref="H41:H42" si="0">F41*G41</f>
        <v>29166.666666666668</v>
      </c>
    </row>
    <row r="42" spans="1:8">
      <c r="A42" s="457"/>
      <c r="B42" s="458"/>
      <c r="C42" s="458"/>
      <c r="D42" s="40"/>
      <c r="E42" s="40"/>
      <c r="F42" s="54"/>
      <c r="G42" s="40"/>
      <c r="H42" s="53">
        <f t="shared" si="0"/>
        <v>0</v>
      </c>
    </row>
    <row r="43" spans="1:8">
      <c r="A43" s="20"/>
      <c r="B43" s="21"/>
      <c r="C43" s="21"/>
      <c r="D43" s="21"/>
      <c r="E43" s="21"/>
      <c r="F43" s="21"/>
      <c r="G43" s="42" t="s">
        <v>35</v>
      </c>
      <c r="H43" s="53">
        <f>SUM(H40:H42)</f>
        <v>53958.333333333336</v>
      </c>
    </row>
    <row r="44" spans="1:8">
      <c r="A44" s="20"/>
      <c r="B44" s="21"/>
      <c r="C44" s="21"/>
      <c r="D44" s="21"/>
      <c r="E44" s="21"/>
      <c r="F44" s="21"/>
      <c r="G44" s="21"/>
      <c r="H44" s="22"/>
    </row>
    <row r="45" spans="1:8">
      <c r="A45" s="459" t="s">
        <v>53</v>
      </c>
      <c r="B45" s="459"/>
      <c r="C45" s="459"/>
      <c r="D45" s="459"/>
      <c r="E45" s="459"/>
      <c r="F45" s="459"/>
      <c r="G45" s="459"/>
      <c r="H45" s="29">
        <f>ROUND(H21+H28+H36+H43,0)</f>
        <v>191764</v>
      </c>
    </row>
    <row r="46" spans="1:8">
      <c r="A46" s="55"/>
      <c r="B46" s="56"/>
      <c r="C46" s="56"/>
      <c r="D46" s="56"/>
      <c r="E46" s="56"/>
      <c r="F46" s="56"/>
      <c r="G46" s="56"/>
      <c r="H46" s="57"/>
    </row>
    <row r="47" spans="1:8">
      <c r="A47" s="55"/>
      <c r="B47" s="56"/>
      <c r="C47" s="56"/>
      <c r="D47" s="56"/>
      <c r="E47" s="56"/>
      <c r="F47" s="56"/>
      <c r="G47" s="56"/>
      <c r="H47" s="57"/>
    </row>
    <row r="48" spans="1:8">
      <c r="A48" s="55"/>
      <c r="B48" s="56"/>
      <c r="C48" s="56"/>
      <c r="D48" s="56"/>
      <c r="E48" s="56"/>
      <c r="F48" s="56"/>
      <c r="G48" s="56"/>
      <c r="H48" s="57"/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8"/>
      <c r="B50" s="59"/>
      <c r="C50" s="59"/>
      <c r="D50" s="59"/>
      <c r="E50" s="59"/>
      <c r="F50" s="59"/>
      <c r="G50" s="59"/>
      <c r="H50" s="60"/>
    </row>
    <row r="51" spans="1:8">
      <c r="A51" s="460" t="s">
        <v>292</v>
      </c>
      <c r="B51" s="461"/>
      <c r="C51" s="461"/>
      <c r="D51" s="461"/>
      <c r="E51" s="59"/>
      <c r="F51" s="461" t="s">
        <v>310</v>
      </c>
      <c r="G51" s="461"/>
      <c r="H51" s="462"/>
    </row>
    <row r="52" spans="1:8">
      <c r="A52" s="451" t="s">
        <v>291</v>
      </c>
      <c r="B52" s="452"/>
      <c r="C52" s="452"/>
      <c r="D52" s="452"/>
      <c r="E52" s="59"/>
      <c r="F52" s="453" t="s">
        <v>54</v>
      </c>
      <c r="G52" s="453"/>
      <c r="H52" s="454"/>
    </row>
    <row r="53" spans="1:8">
      <c r="A53" s="61"/>
      <c r="B53" s="62"/>
      <c r="C53" s="62"/>
      <c r="D53" s="62"/>
      <c r="E53" s="62"/>
      <c r="F53" s="62"/>
      <c r="G53" s="62"/>
      <c r="H53" s="63"/>
    </row>
  </sheetData>
  <mergeCells count="36">
    <mergeCell ref="A9:C9"/>
    <mergeCell ref="A1:H1"/>
    <mergeCell ref="A3:H3"/>
    <mergeCell ref="A4:H4"/>
    <mergeCell ref="A6:A7"/>
    <mergeCell ref="B6:H7"/>
    <mergeCell ref="A24:C24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3:H23"/>
    <mergeCell ref="A41:C41"/>
    <mergeCell ref="A25:C25"/>
    <mergeCell ref="A26:C26"/>
    <mergeCell ref="A30:H30"/>
    <mergeCell ref="A31:C31"/>
    <mergeCell ref="A32:C32"/>
    <mergeCell ref="A33:C33"/>
    <mergeCell ref="A34:C34"/>
    <mergeCell ref="A35:C35"/>
    <mergeCell ref="A38:H38"/>
    <mergeCell ref="A39:C39"/>
    <mergeCell ref="A40:C40"/>
    <mergeCell ref="A42:C42"/>
    <mergeCell ref="A45:G45"/>
    <mergeCell ref="A51:D51"/>
    <mergeCell ref="F51:H51"/>
    <mergeCell ref="A52:D52"/>
    <mergeCell ref="F52:H52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AB79359C-3A8A-41BA-96E0-DF6210A7BB77}">
          <x14:formula1>
            <xm:f>INS!$A$2:$A$89</xm:f>
          </x14:formula1>
          <xm:sqref>A15:D18</xm:sqref>
        </x14:dataValidation>
        <x14:dataValidation type="list" allowBlank="1" showInputMessage="1" showErrorMessage="1" xr:uid="{F85B2853-07C9-40D1-832C-A2AB5700A61F}">
          <x14:formula1>
            <xm:f>EQUI!$A$2:$A$38</xm:f>
          </x14:formula1>
          <xm:sqref>A25:C25</xm:sqref>
        </x14:dataValidation>
        <x14:dataValidation type="list" showInputMessage="1" showErrorMessage="1" xr:uid="{A368E0EB-21EF-4B68-953D-2137EC50D77B}">
          <x14:formula1>
            <xm:f>TRANS!$A$2:$A$20</xm:f>
          </x14:formula1>
          <xm:sqref>A32:C32</xm:sqref>
        </x14:dataValidation>
        <x14:dataValidation type="list" showInputMessage="1" showErrorMessage="1" xr:uid="{BFFFCBC2-F2E2-40A9-B2A7-6672D5825D2E}">
          <x14:formula1>
            <xm:f>LIST!$B$3:$B$85</xm:f>
          </x14:formula1>
          <xm:sqref>D10:H11</xm:sqref>
        </x14:dataValidation>
      </x14:dataValidation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1D339-DE2A-47A9-BC38-AFE0580194AC}">
  <dimension ref="A1:H53"/>
  <sheetViews>
    <sheetView topLeftCell="A22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399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 t="s">
        <v>321</v>
      </c>
      <c r="B15" s="474"/>
      <c r="C15" s="474"/>
      <c r="D15" s="475"/>
      <c r="E15" s="410" t="str">
        <f>IF($A15=0,0,VLOOKUP($A15,INS!$A$2:$E$106,2,FALSE))</f>
        <v>UND</v>
      </c>
      <c r="F15" s="142">
        <v>50</v>
      </c>
      <c r="G15" s="410">
        <f>IF($A15=0,0,VLOOKUP($A15,INS!$A$2:$G$106,6,FALSE))</f>
        <v>1500</v>
      </c>
      <c r="H15" s="29">
        <f>+F15*G15</f>
        <v>75000</v>
      </c>
    </row>
    <row r="16" spans="1:8">
      <c r="A16" s="473" t="s">
        <v>65</v>
      </c>
      <c r="B16" s="474"/>
      <c r="C16" s="474"/>
      <c r="D16" s="475"/>
      <c r="E16" s="410" t="str">
        <f>IF($A16=0,0,VLOOKUP($A16,INS!$A$2:$E$106,2,FALSE))</f>
        <v>M3</v>
      </c>
      <c r="F16" s="142">
        <v>0.04</v>
      </c>
      <c r="G16" s="410">
        <f>IF($A16=0,0,VLOOKUP($A16,INS!$A$2:$G$106,6,FALSE))</f>
        <v>71813</v>
      </c>
      <c r="H16" s="29">
        <f>+F16*G16</f>
        <v>2872.52</v>
      </c>
    </row>
    <row r="17" spans="1:8">
      <c r="A17" s="473" t="s">
        <v>72</v>
      </c>
      <c r="B17" s="474"/>
      <c r="C17" s="474"/>
      <c r="D17" s="475"/>
      <c r="E17" s="410" t="str">
        <f>IF($A17=0,0,VLOOKUP($A17,INS!$A$2:$E$106,2,FALSE))</f>
        <v>BLT</v>
      </c>
      <c r="F17" s="142">
        <v>0.28000000000000003</v>
      </c>
      <c r="G17" s="410">
        <f>IF($A17=0,0,VLOOKUP($A17,INS!$A$2:$G$106,6,FALSE))</f>
        <v>37000</v>
      </c>
      <c r="H17" s="29">
        <f>+F17*G17</f>
        <v>10360.000000000002</v>
      </c>
    </row>
    <row r="18" spans="1:8">
      <c r="A18" s="473"/>
      <c r="B18" s="474"/>
      <c r="C18" s="474"/>
      <c r="D18" s="475"/>
      <c r="E18" s="411">
        <f>IF($A18=0,0,VLOOKUP($A18,INS!$A$2:$E$106,2,FALSE))</f>
        <v>0</v>
      </c>
      <c r="F18" s="142"/>
      <c r="G18" s="410">
        <f>IF($A18=0,0,VLOOKUP($A18,INS!$A$2:$G$106,6,FALSE))</f>
        <v>0</v>
      </c>
      <c r="H18" s="29">
        <f>+F18*G18</f>
        <v>0</v>
      </c>
    </row>
    <row r="19" spans="1:8">
      <c r="A19" s="473"/>
      <c r="B19" s="474"/>
      <c r="C19" s="474"/>
      <c r="D19" s="475"/>
      <c r="E19" s="31"/>
      <c r="F19" s="32"/>
      <c r="G19" s="33"/>
      <c r="H19" s="29"/>
    </row>
    <row r="20" spans="1:8">
      <c r="A20" s="473" t="s">
        <v>33</v>
      </c>
      <c r="B20" s="474"/>
      <c r="C20" s="474"/>
      <c r="D20" s="475"/>
      <c r="E20" s="34" t="s">
        <v>34</v>
      </c>
      <c r="F20" s="35">
        <v>0.05</v>
      </c>
      <c r="G20" s="36">
        <f>H43</f>
        <v>53958.333333333336</v>
      </c>
      <c r="H20" s="29">
        <f>F20*G20</f>
        <v>2697.916666666667</v>
      </c>
    </row>
    <row r="21" spans="1:8">
      <c r="A21" s="20"/>
      <c r="B21" s="21"/>
      <c r="C21" s="21"/>
      <c r="D21" s="21"/>
      <c r="E21" s="21"/>
      <c r="F21" s="21"/>
      <c r="G21" s="37" t="s">
        <v>35</v>
      </c>
      <c r="H21" s="38">
        <f>SUM(H15:H20)</f>
        <v>90930.436666666676</v>
      </c>
    </row>
    <row r="22" spans="1:8">
      <c r="A22" s="20"/>
      <c r="B22" s="21"/>
      <c r="C22" s="21"/>
      <c r="D22" s="21"/>
      <c r="E22" s="21"/>
      <c r="F22" s="21"/>
      <c r="G22" s="21"/>
      <c r="H22" s="22"/>
    </row>
    <row r="23" spans="1:8">
      <c r="A23" s="463" t="s">
        <v>36</v>
      </c>
      <c r="B23" s="463"/>
      <c r="C23" s="463"/>
      <c r="D23" s="463"/>
      <c r="E23" s="463"/>
      <c r="F23" s="463"/>
      <c r="G23" s="463"/>
      <c r="H23" s="463"/>
    </row>
    <row r="24" spans="1:8">
      <c r="A24" s="465" t="s">
        <v>4</v>
      </c>
      <c r="B24" s="466"/>
      <c r="C24" s="466"/>
      <c r="D24" s="24" t="s">
        <v>37</v>
      </c>
      <c r="E24" s="24" t="s">
        <v>5</v>
      </c>
      <c r="F24" s="24" t="s">
        <v>38</v>
      </c>
      <c r="G24" s="24" t="s">
        <v>39</v>
      </c>
      <c r="H24" s="26" t="s">
        <v>32</v>
      </c>
    </row>
    <row r="25" spans="1:8">
      <c r="A25" s="467"/>
      <c r="B25" s="467"/>
      <c r="C25" s="467"/>
      <c r="D25" s="69"/>
      <c r="E25" s="23"/>
      <c r="F25" s="65">
        <f>IF($A$25=0,0,VLOOKUP($A$25,EQUI!$A$2:$E$6,3,FALSE))</f>
        <v>0</v>
      </c>
      <c r="G25" s="142">
        <f>+IF($A$25=0,0,VLOOKUP($A$25,EQUI!$A$2:$E$6,5,FALSE))</f>
        <v>0</v>
      </c>
      <c r="H25" s="29">
        <f>F25*G25</f>
        <v>0</v>
      </c>
    </row>
    <row r="26" spans="1:8">
      <c r="A26" s="457"/>
      <c r="B26" s="458"/>
      <c r="C26" s="458"/>
      <c r="D26" s="27"/>
      <c r="E26" s="23"/>
      <c r="F26" s="23"/>
      <c r="G26" s="39"/>
      <c r="H26" s="29"/>
    </row>
    <row r="27" spans="1:8">
      <c r="D27" s="40"/>
      <c r="E27" s="40"/>
      <c r="F27" s="40"/>
      <c r="G27" s="40"/>
      <c r="H27" s="41"/>
    </row>
    <row r="28" spans="1:8">
      <c r="A28" s="20"/>
      <c r="B28" s="21"/>
      <c r="C28" s="21"/>
      <c r="D28" s="21"/>
      <c r="E28" s="21"/>
      <c r="F28" s="21"/>
      <c r="G28" s="42" t="s">
        <v>35</v>
      </c>
      <c r="H28" s="38">
        <f>SUM(H25:H27)</f>
        <v>0</v>
      </c>
    </row>
    <row r="29" spans="1:8">
      <c r="A29" s="20"/>
      <c r="B29" s="21"/>
      <c r="C29" s="21"/>
      <c r="D29" s="21"/>
      <c r="E29" s="21"/>
      <c r="F29" s="21"/>
      <c r="G29" s="43"/>
      <c r="H29" s="44"/>
    </row>
    <row r="30" spans="1:8">
      <c r="A30" s="468" t="s">
        <v>40</v>
      </c>
      <c r="B30" s="469"/>
      <c r="C30" s="469"/>
      <c r="D30" s="469"/>
      <c r="E30" s="469"/>
      <c r="F30" s="469"/>
      <c r="G30" s="469"/>
      <c r="H30" s="470"/>
    </row>
    <row r="31" spans="1:8">
      <c r="A31" s="465" t="s">
        <v>41</v>
      </c>
      <c r="B31" s="466"/>
      <c r="C31" s="466"/>
      <c r="D31" s="24" t="s">
        <v>308</v>
      </c>
      <c r="E31" s="24" t="s">
        <v>43</v>
      </c>
      <c r="F31" s="24" t="s">
        <v>44</v>
      </c>
      <c r="G31" s="24" t="s">
        <v>45</v>
      </c>
      <c r="H31" s="26" t="s">
        <v>32</v>
      </c>
    </row>
    <row r="32" spans="1:8" ht="27.6" customHeight="1">
      <c r="A32" s="471" t="s">
        <v>323</v>
      </c>
      <c r="B32" s="471"/>
      <c r="C32" s="471"/>
      <c r="D32" s="146">
        <f>IF($A$32=0,0,VLOOKUP($A$32,TRANS!$A$2:$F$38,5,FALSE))</f>
        <v>1</v>
      </c>
      <c r="E32" s="46">
        <f>IF($A$32=0,0,VLOOKUP($A$32,TRANS!$A$2:$D$39,3,FALSE))</f>
        <v>195</v>
      </c>
      <c r="F32" s="169">
        <f>+F15</f>
        <v>50</v>
      </c>
      <c r="G32" s="145">
        <f>IF($A$32=0,0,VLOOKUP($A$32,TRANS!$A$2:$D$38,4,FALSE))</f>
        <v>5</v>
      </c>
      <c r="H32" s="29">
        <f>+E32*F32*G32*D32</f>
        <v>48750</v>
      </c>
    </row>
    <row r="33" spans="1:8">
      <c r="A33" s="472"/>
      <c r="B33" s="472"/>
      <c r="C33" s="472"/>
      <c r="D33" s="45"/>
      <c r="E33" s="23"/>
      <c r="F33" s="23"/>
      <c r="G33" s="47"/>
      <c r="H33" s="29"/>
    </row>
    <row r="34" spans="1:8">
      <c r="A34" s="457"/>
      <c r="B34" s="458"/>
      <c r="C34" s="458"/>
      <c r="D34" s="48"/>
      <c r="E34" s="23"/>
      <c r="F34" s="23"/>
      <c r="G34" s="49"/>
      <c r="H34" s="29"/>
    </row>
    <row r="35" spans="1:8">
      <c r="A35" s="457"/>
      <c r="B35" s="458"/>
      <c r="C35" s="458"/>
      <c r="D35" s="40"/>
      <c r="E35" s="40"/>
      <c r="F35" s="40"/>
      <c r="G35" s="40"/>
      <c r="H35" s="41"/>
    </row>
    <row r="36" spans="1:8">
      <c r="A36" s="20"/>
      <c r="B36" s="21"/>
      <c r="C36" s="21"/>
      <c r="D36" s="21"/>
      <c r="E36" s="21"/>
      <c r="F36" s="21"/>
      <c r="G36" s="50" t="s">
        <v>35</v>
      </c>
      <c r="H36" s="38">
        <f>SUM(H32:H35)</f>
        <v>48750</v>
      </c>
    </row>
    <row r="37" spans="1:8">
      <c r="A37" s="20"/>
      <c r="B37" s="21"/>
      <c r="C37" s="21"/>
      <c r="D37" s="21"/>
      <c r="E37" s="21"/>
      <c r="F37" s="21"/>
      <c r="G37" s="43"/>
      <c r="H37" s="44"/>
    </row>
    <row r="38" spans="1:8">
      <c r="A38" s="463" t="s">
        <v>46</v>
      </c>
      <c r="B38" s="463"/>
      <c r="C38" s="463"/>
      <c r="D38" s="463"/>
      <c r="E38" s="463"/>
      <c r="F38" s="463"/>
      <c r="G38" s="464"/>
      <c r="H38" s="464"/>
    </row>
    <row r="39" spans="1:8" ht="27.6">
      <c r="A39" s="455" t="s">
        <v>4</v>
      </c>
      <c r="B39" s="456"/>
      <c r="C39" s="456"/>
      <c r="D39" s="51" t="s">
        <v>47</v>
      </c>
      <c r="E39" s="26" t="s">
        <v>22</v>
      </c>
      <c r="F39" s="26" t="s">
        <v>49</v>
      </c>
      <c r="G39" s="26" t="s">
        <v>50</v>
      </c>
      <c r="H39" s="26" t="s">
        <v>32</v>
      </c>
    </row>
    <row r="40" spans="1:8">
      <c r="A40" s="457" t="s">
        <v>51</v>
      </c>
      <c r="B40" s="458"/>
      <c r="C40" s="458"/>
      <c r="D40" s="52">
        <f>MO!F31/8</f>
        <v>24791.666666666668</v>
      </c>
      <c r="E40" s="23">
        <v>1</v>
      </c>
      <c r="F40" s="28">
        <f>D40*E40</f>
        <v>24791.666666666668</v>
      </c>
      <c r="G40" s="27">
        <f>+IF(AND($E$40=1,$E$41=1),VLOOKUP($D$10,'REND'!$B$4:$I$43,4,FALSE),IF(AND($E$40=1,$E$41=2),VLOOKUP($D$10,'REND'!$B$4:$I$43,5,FALSE),IF(AND($E$40=1,$E$41=3),VLOOKUP($D$10,'REND'!$B$4:$I$43,6,FALSE),IF(AND($E$40=1,$E$41=4),VLOOKUP($D$10,'REND'!$B$4:$I$43,7,FALSE),0))))</f>
        <v>1</v>
      </c>
      <c r="H40" s="53">
        <f>F40*G40</f>
        <v>24791.666666666668</v>
      </c>
    </row>
    <row r="41" spans="1:8">
      <c r="A41" s="457" t="s">
        <v>52</v>
      </c>
      <c r="B41" s="458"/>
      <c r="C41" s="458"/>
      <c r="D41" s="52">
        <f>MO!F14/8</f>
        <v>14583.333333333334</v>
      </c>
      <c r="E41" s="23">
        <v>2</v>
      </c>
      <c r="F41" s="28">
        <f>D41*E41</f>
        <v>29166.666666666668</v>
      </c>
      <c r="G41" s="27">
        <f>+IF(AND($E$40=1,$E$41=1),VLOOKUP($D$10,'REND'!$B$4:$I$43,4,FALSE),IF(AND($E$40=1,$E$41=2),VLOOKUP($D$10,'REND'!$B$4:$I$43,5,FALSE),IF(AND($E$40=1,$E$41=3),VLOOKUP($D$10,'REND'!$B$4:$I$43,6,FALSE),IF(AND($E$40=1,$E$41=4),VLOOKUP($D$10,'REND'!$B$4:$I$43,7,FALSE),0))))</f>
        <v>1</v>
      </c>
      <c r="H41" s="53">
        <f t="shared" ref="H41:H42" si="0">F41*G41</f>
        <v>29166.666666666668</v>
      </c>
    </row>
    <row r="42" spans="1:8">
      <c r="A42" s="457"/>
      <c r="B42" s="458"/>
      <c r="C42" s="458"/>
      <c r="D42" s="40"/>
      <c r="E42" s="40"/>
      <c r="F42" s="54"/>
      <c r="G42" s="40"/>
      <c r="H42" s="53">
        <f t="shared" si="0"/>
        <v>0</v>
      </c>
    </row>
    <row r="43" spans="1:8">
      <c r="A43" s="20"/>
      <c r="B43" s="21"/>
      <c r="C43" s="21"/>
      <c r="D43" s="21"/>
      <c r="E43" s="21"/>
      <c r="F43" s="21"/>
      <c r="G43" s="42" t="s">
        <v>35</v>
      </c>
      <c r="H43" s="53">
        <f>SUM(H40:H42)</f>
        <v>53958.333333333336</v>
      </c>
    </row>
    <row r="44" spans="1:8">
      <c r="A44" s="20"/>
      <c r="B44" s="21"/>
      <c r="C44" s="21"/>
      <c r="D44" s="21"/>
      <c r="E44" s="21"/>
      <c r="F44" s="21"/>
      <c r="G44" s="21"/>
      <c r="H44" s="22"/>
    </row>
    <row r="45" spans="1:8">
      <c r="A45" s="459" t="s">
        <v>53</v>
      </c>
      <c r="B45" s="459"/>
      <c r="C45" s="459"/>
      <c r="D45" s="459"/>
      <c r="E45" s="459"/>
      <c r="F45" s="459"/>
      <c r="G45" s="459"/>
      <c r="H45" s="29">
        <f>ROUND(H21+H28+H36+H43,0)</f>
        <v>193639</v>
      </c>
    </row>
    <row r="46" spans="1:8">
      <c r="A46" s="55"/>
      <c r="B46" s="56"/>
      <c r="C46" s="56"/>
      <c r="D46" s="56"/>
      <c r="E46" s="56"/>
      <c r="F46" s="56"/>
      <c r="G46" s="56"/>
      <c r="H46" s="57"/>
    </row>
    <row r="47" spans="1:8">
      <c r="A47" s="55"/>
      <c r="B47" s="56"/>
      <c r="C47" s="56"/>
      <c r="D47" s="56"/>
      <c r="E47" s="56"/>
      <c r="F47" s="56"/>
      <c r="G47" s="56"/>
      <c r="H47" s="57"/>
    </row>
    <row r="48" spans="1:8">
      <c r="A48" s="55"/>
      <c r="B48" s="56"/>
      <c r="C48" s="56"/>
      <c r="D48" s="56"/>
      <c r="E48" s="56"/>
      <c r="F48" s="56"/>
      <c r="G48" s="56"/>
      <c r="H48" s="57"/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8"/>
      <c r="B50" s="59"/>
      <c r="C50" s="59"/>
      <c r="D50" s="59"/>
      <c r="E50" s="59"/>
      <c r="F50" s="59"/>
      <c r="G50" s="59"/>
      <c r="H50" s="60"/>
    </row>
    <row r="51" spans="1:8">
      <c r="A51" s="460" t="s">
        <v>292</v>
      </c>
      <c r="B51" s="461"/>
      <c r="C51" s="461"/>
      <c r="D51" s="461"/>
      <c r="E51" s="59"/>
      <c r="F51" s="461" t="s">
        <v>310</v>
      </c>
      <c r="G51" s="461"/>
      <c r="H51" s="462"/>
    </row>
    <row r="52" spans="1:8">
      <c r="A52" s="451" t="s">
        <v>291</v>
      </c>
      <c r="B52" s="452"/>
      <c r="C52" s="452"/>
      <c r="D52" s="452"/>
      <c r="E52" s="59"/>
      <c r="F52" s="453" t="s">
        <v>54</v>
      </c>
      <c r="G52" s="453"/>
      <c r="H52" s="454"/>
    </row>
    <row r="53" spans="1:8">
      <c r="A53" s="61"/>
      <c r="B53" s="62"/>
      <c r="C53" s="62"/>
      <c r="D53" s="62"/>
      <c r="E53" s="62"/>
      <c r="F53" s="62"/>
      <c r="G53" s="62"/>
      <c r="H53" s="63"/>
    </row>
  </sheetData>
  <mergeCells count="36">
    <mergeCell ref="A9:C9"/>
    <mergeCell ref="A1:H1"/>
    <mergeCell ref="A3:H3"/>
    <mergeCell ref="A4:H4"/>
    <mergeCell ref="A6:A7"/>
    <mergeCell ref="B6:H7"/>
    <mergeCell ref="A24:C24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3:H23"/>
    <mergeCell ref="A25:C25"/>
    <mergeCell ref="A26:C26"/>
    <mergeCell ref="A30:H30"/>
    <mergeCell ref="A31:C31"/>
    <mergeCell ref="A32:C32"/>
    <mergeCell ref="A52:D52"/>
    <mergeCell ref="F52:H52"/>
    <mergeCell ref="A33:C33"/>
    <mergeCell ref="A34:C34"/>
    <mergeCell ref="A35:C35"/>
    <mergeCell ref="A38:H38"/>
    <mergeCell ref="A39:C39"/>
    <mergeCell ref="A40:C40"/>
    <mergeCell ref="A41:C41"/>
    <mergeCell ref="A42:C42"/>
    <mergeCell ref="A45:G45"/>
    <mergeCell ref="A51:D51"/>
    <mergeCell ref="F51:H51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38CF5360-FCA3-4607-B213-268D87315C5E}">
          <x14:formula1>
            <xm:f>TRANS!$A$2:$A$20</xm:f>
          </x14:formula1>
          <xm:sqref>A32:C32</xm:sqref>
        </x14:dataValidation>
        <x14:dataValidation type="list" allowBlank="1" showInputMessage="1" showErrorMessage="1" xr:uid="{A79CC269-C053-4936-A517-D5BE11289A2E}">
          <x14:formula1>
            <xm:f>EQUI!$A$2:$A$38</xm:f>
          </x14:formula1>
          <xm:sqref>A25:C25</xm:sqref>
        </x14:dataValidation>
        <x14:dataValidation type="list" showInputMessage="1" showErrorMessage="1" xr:uid="{629FD3CE-0375-4F68-A81D-61A9F4F7A2FC}">
          <x14:formula1>
            <xm:f>INS!$A$2:$A$89</xm:f>
          </x14:formula1>
          <xm:sqref>A15:D18</xm:sqref>
        </x14:dataValidation>
        <x14:dataValidation type="list" showInputMessage="1" showErrorMessage="1" xr:uid="{1BBC82DD-ED9A-4906-8960-279CE4F12997}">
          <x14:formula1>
            <xm:f>LIST!$B$3:$B$85</xm:f>
          </x14:formula1>
          <xm:sqref>D10:H11</xm:sqref>
        </x14:dataValidation>
      </x14:dataValidation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07073-30E3-494B-AAE1-A96C4DBCAE08}">
  <sheetPr>
    <tabColor rgb="FF7030A0"/>
  </sheetPr>
  <dimension ref="A1:H56"/>
  <sheetViews>
    <sheetView topLeftCell="B14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+[1]PTO!D3</f>
        <v>CONSTRUCCIÓN DE PARQUE BIOSALUDABLE EN EL BARRIO LOS CAMBULOS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+_xlfn.XLOOKUP(D10,[1]PTO!$D$4:$D$46,[1]PTO!$C$4:$C$46)</f>
        <v>1.02</v>
      </c>
      <c r="E9" s="24" t="s">
        <v>28</v>
      </c>
      <c r="F9" s="23" t="str">
        <f>+VLOOKUP($D$10,[1]LIST!B3:C69,2,FALSE)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546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171">
        <f>IF($A15=0,0,_xlfn.XLOOKUP($A15,INS[DESCRIPCIÓN],INS[UNIDAD]))</f>
        <v>0</v>
      </c>
      <c r="F15" s="142"/>
      <c r="G15" s="65">
        <f>IF($A15=0,0,_xlfn.XLOOKUP($A15,INS[DESCRIPCIÓN],INS[PROMEDIO]))</f>
        <v>0</v>
      </c>
      <c r="H15" s="29">
        <f>+F15*G15</f>
        <v>0</v>
      </c>
    </row>
    <row r="16" spans="1:8">
      <c r="A16" s="473"/>
      <c r="B16" s="474"/>
      <c r="C16" s="474"/>
      <c r="D16" s="475"/>
      <c r="E16" s="171">
        <f>IF($A16=0,0,_xlfn.XLOOKUP($A16,INS[DESCRIPCIÓN],INS[UNIDAD]))</f>
        <v>0</v>
      </c>
      <c r="F16" s="142"/>
      <c r="G16" s="65">
        <f>IF($A16=0,0,_xlfn.XLOOKUP($A16,INS[DESCRIPCIÓN],INS[PROMEDIO]))</f>
        <v>0</v>
      </c>
      <c r="H16" s="29">
        <f>+F16*G16</f>
        <v>0</v>
      </c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10237.5</v>
      </c>
      <c r="H22" s="29">
        <f>F22*G22</f>
        <v>511.875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511.875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142">
        <f>+IF($A27=0,0,_xlfn.XLOOKUP($A27,EQUI[DESCRIPCIÓN],EQUI[UNIDAD]))</f>
        <v>0</v>
      </c>
      <c r="F27" s="142">
        <f>+IF($A27=0,0,_xlfn.XLOOKUP($A27,EQUI[DESCRIPCIÓN],EQUI[VALOR]))</f>
        <v>0</v>
      </c>
      <c r="G27" s="142">
        <f>+IF($A27=0,0,_xlfn.XLOOKUP($A27,EQUI[DESCRIPCIÓN],EQUI[RENDIMIENTO]))</f>
        <v>0</v>
      </c>
      <c r="H27" s="29">
        <f>F27*G27</f>
        <v>0</v>
      </c>
    </row>
    <row r="28" spans="1:8">
      <c r="A28" s="467"/>
      <c r="B28" s="467"/>
      <c r="C28" s="467"/>
      <c r="D28" s="69"/>
      <c r="E28" s="142"/>
      <c r="F28" s="142"/>
      <c r="G28" s="142"/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309</v>
      </c>
      <c r="B35" s="471"/>
      <c r="C35" s="471"/>
      <c r="D35" s="146">
        <f>IF($A$35=0,0,VLOOKUP($A$35,TRANS!$A$2:$F$38,5,FALSE))</f>
        <v>1.3</v>
      </c>
      <c r="E35" s="46">
        <f>IF($A$35=0,0,VLOOKUP($A$35,TRANS!$A$2:$D$38,3,FALSE))</f>
        <v>5</v>
      </c>
      <c r="F35" s="169">
        <v>0.15</v>
      </c>
      <c r="G35" s="145">
        <f>IF($A$35=0,0,VLOOKUP($A$35,TRANS!$A$2:$D$38,4,FALSE))</f>
        <v>1800</v>
      </c>
      <c r="H35" s="29">
        <f>+E35*F35*G35*D35</f>
        <v>1755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1755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0.26</v>
      </c>
      <c r="H43" s="53">
        <f>F43*G43</f>
        <v>6445.8333333333339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0.26</v>
      </c>
      <c r="H44" s="53">
        <f t="shared" ref="H44:H45" si="0">F44*G44</f>
        <v>3791.666666666667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10237.5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12504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35D5C-AD67-44A6-A68C-FA2E970D6D90}">
  <sheetPr>
    <tabColor rgb="FF7030A0"/>
  </sheetPr>
  <dimension ref="A1:H56"/>
  <sheetViews>
    <sheetView topLeftCell="A15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+_xlfn.XLOOKUP(D10,PTO!$D$4:$D$53,PTO!$C$4:$C$53)</f>
        <v>#N/A</v>
      </c>
      <c r="E9" s="24" t="s">
        <v>28</v>
      </c>
      <c r="F9" s="23" t="str">
        <f>+VLOOKUP($D$10,LIST!B3:C71,2,FALSE)</f>
        <v>M3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544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 t="s">
        <v>96</v>
      </c>
      <c r="B15" s="474"/>
      <c r="C15" s="474"/>
      <c r="D15" s="475"/>
      <c r="E15" s="65" t="str">
        <f>IF($A15=0,0,_xlfn.XLOOKUP($A15,INS[DESCRIPCIÓN],INS[UNIDAD]))</f>
        <v>M3</v>
      </c>
      <c r="F15" s="142">
        <v>1.3</v>
      </c>
      <c r="G15" s="65">
        <f>IF($A15=0,0,_xlfn.XLOOKUP($A15,INS[DESCRIPCIÓN],INS[PROMEDIO]))</f>
        <v>75000</v>
      </c>
      <c r="H15" s="29">
        <f>+F15*G15</f>
        <v>97500</v>
      </c>
    </row>
    <row r="16" spans="1:8">
      <c r="A16" s="473"/>
      <c r="B16" s="474"/>
      <c r="C16" s="474"/>
      <c r="D16" s="475"/>
      <c r="E16" s="65"/>
      <c r="F16" s="142"/>
      <c r="G16" s="65"/>
      <c r="H16" s="29">
        <f>+F16*G16</f>
        <v>0</v>
      </c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10791.666666666668</v>
      </c>
      <c r="H22" s="29">
        <f>F22*G22</f>
        <v>539.58333333333337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98039.583333333328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547</v>
      </c>
      <c r="B27" s="467"/>
      <c r="C27" s="467"/>
      <c r="D27" s="69"/>
      <c r="E27" s="142" t="str">
        <f>+IF($A27=0,0,_xlfn.XLOOKUP($A27,EQUI[DESCRIPCIÓN],EQUI[UNIDAD]))</f>
        <v>DIA</v>
      </c>
      <c r="F27" s="142">
        <f>+IF($A27=0,0,_xlfn.XLOOKUP($A27,EQUI[DESCRIPCIÓN],EQUI[VALOR]))</f>
        <v>45000</v>
      </c>
      <c r="G27" s="142">
        <f>+IF($A27=0,0,_xlfn.XLOOKUP($A27,EQUI[DESCRIPCIÓN],EQUI[RENDIMIENTO]))</f>
        <v>0.15</v>
      </c>
      <c r="H27" s="29">
        <f>F27*G27</f>
        <v>6750</v>
      </c>
    </row>
    <row r="28" spans="1:8">
      <c r="A28" s="467"/>
      <c r="B28" s="467"/>
      <c r="C28" s="467"/>
      <c r="D28" s="69"/>
      <c r="E28" s="142">
        <f>+IF($A28=0,0,_xlfn.XLOOKUP($A28,[1]!EQUI[DESCRIPCIÓN],[1]!EQUI[UNIDAD]))</f>
        <v>0</v>
      </c>
      <c r="F28" s="142">
        <f>+IF($A28=0,0,_xlfn.XLOOKUP($A28,[1]!EQUI[DESCRIPCIÓN],[1]!EQUI[VALOR]))</f>
        <v>0</v>
      </c>
      <c r="G28" s="142">
        <f>+IF($A28=0,0,_xlfn.XLOOKUP($A28,[1]!EQUI[DESCRIPCIÓN],[1]!EQUI[RENDIMIENTO]))</f>
        <v>0</v>
      </c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6750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548</v>
      </c>
      <c r="B35" s="471"/>
      <c r="C35" s="471"/>
      <c r="D35" s="146">
        <f>IF($A$35=0,0,VLOOKUP($A$35,TRANS!$A$2:$F$38,5,FALSE))</f>
        <v>1.3</v>
      </c>
      <c r="E35" s="46">
        <f>IF($A$35=0,0,VLOOKUP($A$35,TRANS!$A$2:$D$38,3,FALSE))</f>
        <v>10</v>
      </c>
      <c r="F35" s="169">
        <v>0.15</v>
      </c>
      <c r="G35" s="145">
        <f>IF($A$35=0,0,VLOOKUP($A$35,TRANS!$A$2:$D$38,4,FALSE))</f>
        <v>1800</v>
      </c>
      <c r="H35" s="29">
        <f>+E35*F35*G35*D35</f>
        <v>3510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3510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</v>
      </c>
      <c r="H43" s="53">
        <f>F43*G43</f>
        <v>4958.3333333333339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</v>
      </c>
      <c r="H44" s="53">
        <f t="shared" ref="H44:H45" si="0">F44*G44</f>
        <v>5833.3333333333339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10791.666666666668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119091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9EC42-FA7C-4F2F-987C-F2852A6368A9}">
  <sheetPr>
    <tabColor rgb="FF7030A0"/>
  </sheetPr>
  <dimension ref="A1:H56"/>
  <sheetViews>
    <sheetView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+[1]PTO!D3</f>
        <v>CONSTRUCCIÓN DE PARQUE BIOSALUDABLE EN EL BARRIO LOS CAMBULOS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+_xlfn.XLOOKUP(D10,PTO!$D$4:$D$53,PTO!$C$4:$C$53)</f>
        <v>#N/A</v>
      </c>
      <c r="E9" s="24" t="s">
        <v>28</v>
      </c>
      <c r="F9" s="23" t="str">
        <f>+VLOOKUP($D$10,LIST!B3:C71,2,FALSE)</f>
        <v>M3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542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65">
        <f>IF($A15=0,0,_xlfn.XLOOKUP($A15,INS[DESCRIPCIÓN],INS[UNIDAD]))</f>
        <v>0</v>
      </c>
      <c r="F15" s="142"/>
      <c r="G15" s="65">
        <f>IF($A15=0,0,_xlfn.XLOOKUP($A15,INS[DESCRIPCIÓN],INS[PROMEDIO]))</f>
        <v>0</v>
      </c>
      <c r="H15" s="29">
        <f>+F15*G15</f>
        <v>0</v>
      </c>
    </row>
    <row r="16" spans="1:8">
      <c r="A16" s="473"/>
      <c r="B16" s="474"/>
      <c r="C16" s="474"/>
      <c r="D16" s="475"/>
      <c r="E16" s="65">
        <f>IF($A16=0,0,_xlfn.XLOOKUP($A16,INS[DESCRIPCIÓN],INS[UNIDAD]))</f>
        <v>0</v>
      </c>
      <c r="F16" s="142"/>
      <c r="G16" s="65">
        <f>IF($A16=0,0,_xlfn.XLOOKUP($A16,INS[DESCRIPCIÓN],INS[PROMEDIO]))</f>
        <v>0</v>
      </c>
      <c r="H16" s="29">
        <f>+F16*G16</f>
        <v>0</v>
      </c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4725</v>
      </c>
      <c r="H22" s="29">
        <f>F22*G22</f>
        <v>236.25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236.25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549</v>
      </c>
      <c r="B27" s="467"/>
      <c r="C27" s="467"/>
      <c r="D27" s="69"/>
      <c r="E27" s="142" t="str">
        <f>+IF($A27=0,0,_xlfn.XLOOKUP($A27,EQUI[DESCRIPCIÓN],EQUI[UNIDAD]))</f>
        <v>HORA</v>
      </c>
      <c r="F27" s="142">
        <f>+IF($A27=0,0,_xlfn.XLOOKUP($A27,EQUI[DESCRIPCIÓN],EQUI[VALOR]))</f>
        <v>168000</v>
      </c>
      <c r="G27" s="142">
        <f>+IF($A27=0,0,_xlfn.XLOOKUP($A27,EQUI[DESCRIPCIÓN],EQUI[RENDIMIENTO]))</f>
        <v>0.15</v>
      </c>
      <c r="H27" s="29">
        <f>F27*G27</f>
        <v>25200</v>
      </c>
    </row>
    <row r="28" spans="1:8">
      <c r="A28" s="467"/>
      <c r="B28" s="467"/>
      <c r="C28" s="467"/>
      <c r="D28" s="69"/>
      <c r="E28" s="142"/>
      <c r="F28" s="142"/>
      <c r="G28" s="142"/>
      <c r="H28" s="29">
        <f>F28*G28</f>
        <v>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25200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IF($A$35=0,0,VLOOKUP($A$35,TRANS!$A$2:$D$38,3,FALSE))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0.12</v>
      </c>
      <c r="H43" s="53">
        <f>F43*G43</f>
        <v>2975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0.12</v>
      </c>
      <c r="H44" s="53">
        <f t="shared" ref="H44:H45" si="0">F44*G44</f>
        <v>1750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4725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30161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60171-457F-4B25-BBA6-FC0D683B9750}">
  <sheetPr>
    <tabColor rgb="FF7030A0"/>
  </sheetPr>
  <dimension ref="A1:H56"/>
  <sheetViews>
    <sheetView topLeftCell="A24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+_xlfn.XLOOKUP(D10,PTO!$D$4:$D$53,PTO!$C$4:$C$53)</f>
        <v>#N/A</v>
      </c>
      <c r="E9" s="24" t="s">
        <v>28</v>
      </c>
      <c r="F9" s="23" t="str">
        <f>+VLOOKUP($D$10,LIST!B3:C71,2,FALSE)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540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65">
        <f>IF($A15=0,0,_xlfn.XLOOKUP($A15,INS[DESCRIPCIÓN],INS[UNIDAD]))</f>
        <v>0</v>
      </c>
      <c r="F15" s="142"/>
      <c r="G15" s="65">
        <f>IF($A15=0,0,_xlfn.XLOOKUP($A15,INS[DESCRIPCIÓN],INS[PROMEDIO]))</f>
        <v>0</v>
      </c>
      <c r="H15" s="29">
        <f>+F15*G15</f>
        <v>0</v>
      </c>
    </row>
    <row r="16" spans="1:8">
      <c r="A16" s="473"/>
      <c r="B16" s="474"/>
      <c r="C16" s="474"/>
      <c r="D16" s="475"/>
      <c r="E16" s="65">
        <f>IF($A16=0,0,_xlfn.XLOOKUP($A16,INS[DESCRIPCIÓN],INS[UNIDAD]))</f>
        <v>0</v>
      </c>
      <c r="F16" s="142"/>
      <c r="G16" s="65">
        <f>IF($A16=0,0,_xlfn.XLOOKUP($A16,INS[DESCRIPCIÓN],INS[PROMEDIO]))</f>
        <v>0</v>
      </c>
      <c r="H16" s="29">
        <f>+F16*G16</f>
        <v>0</v>
      </c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59354.166666666672</v>
      </c>
      <c r="H22" s="29">
        <f>F22*G22</f>
        <v>2967.7083333333339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2967.7083333333339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86</v>
      </c>
      <c r="B27" s="467"/>
      <c r="C27" s="467"/>
      <c r="D27" s="69"/>
      <c r="E27" s="142" t="str">
        <f>+IF($A27=0,0,_xlfn.XLOOKUP($A27,EQUI[DESCRIPCIÓN],EQUI[UNIDAD]))</f>
        <v>HORA</v>
      </c>
      <c r="F27" s="142">
        <f>+IF($A27=0,0,_xlfn.XLOOKUP($A27,EQUI[DESCRIPCIÓN],EQUI[VALOR]))</f>
        <v>50000</v>
      </c>
      <c r="G27" s="142">
        <f>+IF($A27=0,0,_xlfn.XLOOKUP($A27,EQUI[DESCRIPCIÓN],EQUI[RENDIMIENTO]))</f>
        <v>0.2</v>
      </c>
      <c r="H27" s="29">
        <f>F27*G27</f>
        <v>10000</v>
      </c>
    </row>
    <row r="28" spans="1:8">
      <c r="A28" s="467" t="s">
        <v>550</v>
      </c>
      <c r="B28" s="467"/>
      <c r="C28" s="467"/>
      <c r="D28" s="69"/>
      <c r="E28" s="142" t="str">
        <f>+IF($A28=0,0,_xlfn.XLOOKUP($A28,EQUI[DESCRIPCIÓN],EQUI[UNIDAD]))</f>
        <v>DIA</v>
      </c>
      <c r="F28" s="142">
        <f>+IF($A28=0,0,_xlfn.XLOOKUP($A28,EQUI[DESCRIPCIÓN],EQUI[VALOR]))</f>
        <v>50000</v>
      </c>
      <c r="G28" s="142">
        <f>+IF($A28=0,0,_xlfn.XLOOKUP($A28,EQUI[DESCRIPCIÓN],EQUI[RENDIMIENTO]))</f>
        <v>0.01</v>
      </c>
      <c r="H28" s="29">
        <f>F28*G28</f>
        <v>500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10500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309</v>
      </c>
      <c r="B35" s="471"/>
      <c r="C35" s="471"/>
      <c r="D35" s="146">
        <f>IF($A$35=0,0,VLOOKUP($A$35,TRANS!$A$2:$F$38,5,FALSE))</f>
        <v>1.3</v>
      </c>
      <c r="E35" s="46">
        <f>IF($A$35=0,0,VLOOKUP($A$35,TRANS!$A$2:$D$38,3,FALSE))</f>
        <v>5</v>
      </c>
      <c r="F35" s="169">
        <v>0.2</v>
      </c>
      <c r="G35" s="145">
        <f>IF($A$35=0,0,VLOOKUP($A$35,TRANS!$A$2:$D$38,4,FALSE))</f>
        <v>1800</v>
      </c>
      <c r="H35" s="29">
        <f>+E35*F35*G35*D35</f>
        <v>2340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2340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552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1.1000000000000001</v>
      </c>
      <c r="H43" s="53">
        <f>F43*G43</f>
        <v>27270.833333333336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1.1000000000000001</v>
      </c>
      <c r="H44" s="53">
        <f t="shared" ref="H44:H45" si="0">F44*G44</f>
        <v>32083.333333333336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59354.166666666672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75162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EFC2B-D662-4F5C-9830-46FD169DB2A2}">
  <sheetPr>
    <tabColor rgb="FF7030A0"/>
  </sheetPr>
  <dimension ref="A1:H56"/>
  <sheetViews>
    <sheetView topLeftCell="D25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+_xlfn.XLOOKUP(D10,PTO!$D$4:$D$22,PTO!$C$4:$C$22)</f>
        <v>#N/A</v>
      </c>
      <c r="E9" s="24" t="s">
        <v>28</v>
      </c>
      <c r="F9" s="23" t="str">
        <f>+VLOOKUP($D$10,LIST!B3:C71,2,FALSE)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538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65">
        <f>IF($A15=0,0,_xlfn.XLOOKUP($A15,[1]!INS[DESCRIPCIÓN],[1]!INS[UNIDAD]))</f>
        <v>0</v>
      </c>
      <c r="F15" s="142"/>
      <c r="G15" s="65">
        <f>IF($A15=0,0,_xlfn.XLOOKUP($A15,INS[DESCRIPCIÓN],INS[PROMEDIO]))</f>
        <v>0</v>
      </c>
      <c r="H15" s="29">
        <f>+F15*G15</f>
        <v>0</v>
      </c>
    </row>
    <row r="16" spans="1:8">
      <c r="A16" s="473"/>
      <c r="B16" s="474"/>
      <c r="C16" s="474"/>
      <c r="D16" s="475"/>
      <c r="E16" s="65">
        <f>IF($A16=0,0,_xlfn.XLOOKUP($A16,[1]!INS[DESCRIPCIÓN],[1]!INS[UNIDAD]))</f>
        <v>0</v>
      </c>
      <c r="F16" s="142"/>
      <c r="G16" s="65">
        <f>IF($A16=0,0,_xlfn.XLOOKUP($A16,INS[DESCRIPCIÓN],INS[PROMEDIO]))</f>
        <v>0</v>
      </c>
      <c r="H16" s="29">
        <f>+F16*G16</f>
        <v>0</v>
      </c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35072.916666666672</v>
      </c>
      <c r="H22" s="29">
        <f>F22*G22</f>
        <v>1753.6458333333337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1753.6458333333337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86</v>
      </c>
      <c r="B27" s="467"/>
      <c r="C27" s="467"/>
      <c r="D27" s="69"/>
      <c r="E27" s="142" t="str">
        <f>+IF($A27=0,0,_xlfn.XLOOKUP($A27,EQUI[DESCRIPCIÓN],EQUI[UNIDAD]))</f>
        <v>HORA</v>
      </c>
      <c r="F27" s="142">
        <f>+IF($A27=0,0,_xlfn.XLOOKUP($A27,EQUI[DESCRIPCIÓN],EQUI[VALOR]))</f>
        <v>50000</v>
      </c>
      <c r="G27" s="142">
        <f>+IF($A27=0,0,_xlfn.XLOOKUP($A27,EQUI[DESCRIPCIÓN],EQUI[RENDIMIENTO]))</f>
        <v>0.2</v>
      </c>
      <c r="H27" s="29">
        <f>F27*G27</f>
        <v>10000</v>
      </c>
    </row>
    <row r="28" spans="1:8">
      <c r="A28" s="467" t="s">
        <v>551</v>
      </c>
      <c r="B28" s="467"/>
      <c r="C28" s="467"/>
      <c r="D28" s="69"/>
      <c r="E28" s="142" t="str">
        <f>+IF($A28=0,0,_xlfn.XLOOKUP($A28,EQUI[DESCRIPCIÓN],EQUI[UNIDAD]))</f>
        <v>HORA</v>
      </c>
      <c r="F28" s="142">
        <f>+IF($A28=0,0,_xlfn.XLOOKUP($A28,EQUI[DESCRIPCIÓN],EQUI[VALOR]))</f>
        <v>12000</v>
      </c>
      <c r="G28" s="142">
        <f>+IF($A28=0,0,_xlfn.XLOOKUP($A28,EQUI[DESCRIPCIÓN],EQUI[RENDIMIENTO]))</f>
        <v>0.2</v>
      </c>
      <c r="H28" s="29">
        <f>F28*G28</f>
        <v>2400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12400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309</v>
      </c>
      <c r="B35" s="471"/>
      <c r="C35" s="471"/>
      <c r="D35" s="146">
        <f>IF($A$35=0,0,VLOOKUP($A$35,TRANS!$A$2:$F$38,5,FALSE))</f>
        <v>1.3</v>
      </c>
      <c r="E35" s="46">
        <f>IF($A$35=0,0,VLOOKUP($A$35,TRANS!$A$2:$D$38,3,FALSE))</f>
        <v>5</v>
      </c>
      <c r="F35" s="169">
        <v>0.15</v>
      </c>
      <c r="G35" s="145">
        <f>IF($A$35=0,0,VLOOKUP($A$35,TRANS!$A$2:$D$38,4,FALSE))</f>
        <v>1800</v>
      </c>
      <c r="H35" s="29">
        <f>+E35*F35*G35*D35</f>
        <v>1755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1755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0.65</v>
      </c>
      <c r="H43" s="53">
        <f>F43*G43</f>
        <v>16114.583333333334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0.65</v>
      </c>
      <c r="H44" s="53">
        <f t="shared" ref="H44:H45" si="0">F44*G44</f>
        <v>18958.333333333336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35072.916666666672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50982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9468C-CAB6-4788-9B73-8EB8BF022874}">
  <sheetPr>
    <tabColor rgb="FF7030A0"/>
  </sheetPr>
  <dimension ref="A1:H56"/>
  <sheetViews>
    <sheetView topLeftCell="A26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+_xlfn.XLOOKUP(D10,PTO!$D$4:$D$22,PTO!$C$4:$C$22)</f>
        <v>#N/A</v>
      </c>
      <c r="E9" s="24" t="s">
        <v>28</v>
      </c>
      <c r="F9" s="23" t="str">
        <f>+VLOOKUP($D$10,LIST!B3:C71,2,FALSE)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536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 t="s">
        <v>88</v>
      </c>
      <c r="B15" s="474"/>
      <c r="C15" s="474"/>
      <c r="D15" s="475"/>
      <c r="E15" s="65" t="str">
        <f>IF($A15=0,0,_xlfn.XLOOKUP($A15,INS[DESCRIPCIÓN],INS[UNIDAD]))</f>
        <v>Und</v>
      </c>
      <c r="F15" s="142">
        <v>0.1</v>
      </c>
      <c r="G15" s="65">
        <f>IF($A15=0,0,_xlfn.XLOOKUP($A15,INS[DESCRIPCIÓN],INS[PROMEDIO]))</f>
        <v>12250</v>
      </c>
      <c r="H15" s="29">
        <f>+F15*G15</f>
        <v>1225</v>
      </c>
    </row>
    <row r="16" spans="1:8">
      <c r="A16" s="473" t="s">
        <v>101</v>
      </c>
      <c r="B16" s="474"/>
      <c r="C16" s="474"/>
      <c r="D16" s="475"/>
      <c r="E16" s="65" t="str">
        <f>IF($A16=0,0,_xlfn.XLOOKUP($A16,INS[DESCRIPCIÓN],INS[UNIDAD]))</f>
        <v>Lb</v>
      </c>
      <c r="F16" s="142">
        <v>0.2</v>
      </c>
      <c r="G16" s="65">
        <f>IF($A16=0,0,_xlfn.XLOOKUP($A16,INS[DESCRIPCIÓN],INS[PROMEDIO]))</f>
        <v>5650</v>
      </c>
      <c r="H16" s="29">
        <f>+F16*G16</f>
        <v>1130</v>
      </c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1968.7500000000002</v>
      </c>
      <c r="H22" s="29">
        <f>F22*G22</f>
        <v>98.437500000000014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2453.4375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IF($A$27=0,0,VLOOKUP($A$27,EQUI!$A$2:$E$6,3,FALSE))</f>
        <v>0</v>
      </c>
      <c r="G27" s="142">
        <f>+IF($A$27=0,0,VLOOKUP($A$27,EQUI!$A$2:$E$6,5,FALSE))</f>
        <v>0</v>
      </c>
      <c r="H27" s="29">
        <f>F27*G27</f>
        <v>0</v>
      </c>
    </row>
    <row r="28" spans="1:8">
      <c r="A28" s="457"/>
      <c r="B28" s="458"/>
      <c r="C28" s="458"/>
      <c r="D28" s="27"/>
      <c r="E28" s="23"/>
      <c r="F28" s="23"/>
      <c r="G28" s="39"/>
      <c r="H28" s="29"/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IF($A$35=0,0,VLOOKUP($A$35,TRANS!$A$2:$D$38,3,FALSE))</f>
        <v>0</v>
      </c>
      <c r="F35" s="169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0.05</v>
      </c>
      <c r="H43" s="53">
        <f>F43*G43</f>
        <v>1239.5833333333335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1</v>
      </c>
      <c r="F44" s="28">
        <f>D44*E44</f>
        <v>14583.333333333334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0.05</v>
      </c>
      <c r="H44" s="53">
        <f t="shared" ref="H44:H45" si="0">F44*G44</f>
        <v>729.16666666666674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1968.7500000000002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4422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185CA-BEE0-4316-8016-D0B8032FB508}">
  <dimension ref="A1:H56"/>
  <sheetViews>
    <sheetView topLeftCell="A31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>
        <f>+_xlfn.XLOOKUP(D10,PTO!$D$4:$D$27,PTO!$C$4:$C$27)</f>
        <v>1.01</v>
      </c>
      <c r="E9" s="24" t="s">
        <v>28</v>
      </c>
      <c r="F9" s="23" t="str">
        <f>+VLOOKUP($D$10,LIST!B3:C54,2,FALSE)</f>
        <v>UND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413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65">
        <f>IF($A$15=0,0,VLOOKUP($A$15,INS!$A$2:$E$83,2,FALSE))</f>
        <v>0</v>
      </c>
      <c r="F15" s="142"/>
      <c r="G15" s="65">
        <f>IF($A$15=0,0,VLOOKUP($A$15,INS!$A$2:$G$83,6,FALSE))</f>
        <v>0</v>
      </c>
      <c r="H15" s="29">
        <f>+F15*G15</f>
        <v>0</v>
      </c>
    </row>
    <row r="16" spans="1:8">
      <c r="A16" s="473"/>
      <c r="B16" s="474"/>
      <c r="C16" s="474"/>
      <c r="D16" s="475"/>
      <c r="E16" s="23"/>
      <c r="F16" s="27"/>
      <c r="G16" s="28"/>
      <c r="H16" s="29"/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89104.166666666672</v>
      </c>
      <c r="H22" s="29">
        <f>F22*G22</f>
        <v>4455.2083333333339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4455.2083333333339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IF($A$27=0,0,VLOOKUP($A$27,EQUI!$A$2:$E$6,3,FALSE))</f>
        <v>0</v>
      </c>
      <c r="G27" s="142">
        <f>+IF($A$27=0,0,VLOOKUP($A$27,EQUI!$A$2:$E$6,5,FALSE))</f>
        <v>0</v>
      </c>
      <c r="H27" s="29">
        <f>F27*G27</f>
        <v>0</v>
      </c>
    </row>
    <row r="28" spans="1:8">
      <c r="A28" s="457"/>
      <c r="B28" s="458"/>
      <c r="C28" s="458"/>
      <c r="D28" s="27"/>
      <c r="E28" s="23"/>
      <c r="F28" s="23"/>
      <c r="G28" s="39"/>
      <c r="H28" s="29"/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IF($A$35=0,0,VLOOKUP($A$35,TRANS!$A$2:$D$38,3,FALSE))</f>
        <v>0</v>
      </c>
      <c r="F35" s="169">
        <f>+F15</f>
        <v>0</v>
      </c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1.3</v>
      </c>
      <c r="H43" s="53">
        <f>F43*G43</f>
        <v>32229.166666666668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3</v>
      </c>
      <c r="F44" s="28">
        <f>D44*E44</f>
        <v>43750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1.3</v>
      </c>
      <c r="H44" s="53">
        <f t="shared" ref="H44:H45" si="0">F44*G44</f>
        <v>56875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89104.166666666672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93559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824FE80B-7626-4D84-8B5E-1B4C4F0A5998}">
          <x14:formula1>
            <xm:f>LIST!$B$3:$B$85</xm:f>
          </x14:formula1>
          <xm:sqref>D10:H11</xm:sqref>
        </x14:dataValidation>
        <x14:dataValidation type="list" showInputMessage="1" showErrorMessage="1" xr:uid="{82B021C4-CC65-47F7-BE21-CEFEFB39A3C0}">
          <x14:formula1>
            <xm:f>TRANS!$A$2:$A$20</xm:f>
          </x14:formula1>
          <xm:sqref>A35:C35</xm:sqref>
        </x14:dataValidation>
        <x14:dataValidation type="list" allowBlank="1" showInputMessage="1" showErrorMessage="1" xr:uid="{8B95E259-814F-4D5A-BC83-459E99E38B85}">
          <x14:formula1>
            <xm:f>EQUI!$A$2:$A$38</xm:f>
          </x14:formula1>
          <xm:sqref>A27:C27</xm:sqref>
        </x14:dataValidation>
        <x14:dataValidation type="list" showInputMessage="1" showErrorMessage="1" xr:uid="{76312477-A02D-4EE2-9F1C-37BB5C69184F}">
          <x14:formula1>
            <xm:f>INS!$A$2:$A$89</xm:f>
          </x14:formula1>
          <xm:sqref>A15:D15</xm:sqref>
        </x14:dataValidation>
      </x14:dataValidation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4D81-8ABF-4AAC-87AC-A9BD5CE590F7}">
  <dimension ref="A1:H56"/>
  <sheetViews>
    <sheetView topLeftCell="A10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+VLOOKUP($D$10,LIST!B3:C54,2,FALSE)</f>
        <v>M3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312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 t="s">
        <v>65</v>
      </c>
      <c r="B15" s="474"/>
      <c r="C15" s="474"/>
      <c r="D15" s="475"/>
      <c r="E15" s="65" t="str">
        <f>IF($A$15=0,0,VLOOKUP($A$15,INS!$A$2:$E$83,2,FALSE))</f>
        <v>M3</v>
      </c>
      <c r="F15" s="142">
        <v>1.1000000000000001</v>
      </c>
      <c r="G15" s="65">
        <f>IF($A$15=0,0,VLOOKUP($A$15,INS!$A$2:$G$83,6,FALSE))</f>
        <v>71813</v>
      </c>
      <c r="H15" s="29">
        <f>+F15*G15</f>
        <v>78994.3</v>
      </c>
    </row>
    <row r="16" spans="1:8">
      <c r="A16" s="473"/>
      <c r="B16" s="474"/>
      <c r="C16" s="474"/>
      <c r="D16" s="475"/>
      <c r="E16" s="23"/>
      <c r="F16" s="27"/>
      <c r="G16" s="28"/>
      <c r="H16" s="29"/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16187.5</v>
      </c>
      <c r="H22" s="29">
        <f>F22*G22</f>
        <v>809.375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79803.675000000003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IF($A$27=0,0,VLOOKUP($A$27,EQUI!$A$2:$E$6,3,FALSE))</f>
        <v>0</v>
      </c>
      <c r="G27" s="142">
        <f>+IF($A$27=0,0,VLOOKUP($A$27,EQUI!$A$2:$E$6,5,FALSE))</f>
        <v>0</v>
      </c>
      <c r="H27" s="29">
        <f>F27*G27</f>
        <v>0</v>
      </c>
    </row>
    <row r="28" spans="1:8">
      <c r="A28" s="457"/>
      <c r="B28" s="458"/>
      <c r="C28" s="458"/>
      <c r="D28" s="27"/>
      <c r="E28" s="23"/>
      <c r="F28" s="23"/>
      <c r="G28" s="39"/>
      <c r="H28" s="29"/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324</v>
      </c>
      <c r="B35" s="471"/>
      <c r="C35" s="471"/>
      <c r="D35" s="146">
        <f>IF($A$35=0,0,VLOOKUP($A$35,TRANS!$A$2:$F$38,5,FALSE))</f>
        <v>1.1000000000000001</v>
      </c>
      <c r="E35" s="46">
        <f>IF($A$35=0,0,VLOOKUP($A$35,TRANS!$A$2:$D$38,3,FALSE))</f>
        <v>125</v>
      </c>
      <c r="F35" s="169">
        <f>+F15</f>
        <v>1.1000000000000001</v>
      </c>
      <c r="G35" s="145">
        <f>IF($A$35=0,0,VLOOKUP($A$35,TRANS!$A$2:$D$38,4,FALSE))</f>
        <v>1800</v>
      </c>
      <c r="H35" s="29">
        <f>+E35*F35*G35*D35</f>
        <v>272250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272250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53">
        <f>F43*G43</f>
        <v>7437.5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53">
        <f t="shared" ref="H44:H45" si="0">F44*G44</f>
        <v>8750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16187.5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368241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17:D17"/>
    <mergeCell ref="A18:D18"/>
    <mergeCell ref="A28:C28"/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35:C35"/>
    <mergeCell ref="A19:D19"/>
    <mergeCell ref="A20:D20"/>
    <mergeCell ref="A21:D21"/>
    <mergeCell ref="A22:D22"/>
    <mergeCell ref="A25:H25"/>
    <mergeCell ref="A26:C26"/>
    <mergeCell ref="A27:C27"/>
    <mergeCell ref="A29:C29"/>
    <mergeCell ref="A30:C30"/>
    <mergeCell ref="A33:H33"/>
    <mergeCell ref="A34:C34"/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CA78F5AC-2FC8-426D-BC81-E651D284962E}">
          <x14:formula1>
            <xm:f>INS!$A$2:$A$89</xm:f>
          </x14:formula1>
          <xm:sqref>A15:D15</xm:sqref>
        </x14:dataValidation>
        <x14:dataValidation type="list" allowBlank="1" showInputMessage="1" showErrorMessage="1" xr:uid="{7F18A28B-EB89-4EF5-8F45-1708B07770B6}">
          <x14:formula1>
            <xm:f>EQUI!$A$2:$A$38</xm:f>
          </x14:formula1>
          <xm:sqref>A27:C27</xm:sqref>
        </x14:dataValidation>
        <x14:dataValidation type="list" showInputMessage="1" showErrorMessage="1" xr:uid="{BE6B0402-9769-454C-9D80-C76DB8E02162}">
          <x14:formula1>
            <xm:f>TRANS!$A$2:$A$20</xm:f>
          </x14:formula1>
          <xm:sqref>A35:C35</xm:sqref>
        </x14:dataValidation>
        <x14:dataValidation type="list" showInputMessage="1" showErrorMessage="1" xr:uid="{054F7B1C-1ED0-4975-A519-C0AF79EEAC90}">
          <x14:formula1>
            <xm:f>LIST!$B$3:$B$85</xm:f>
          </x14:formula1>
          <xm:sqref>D10:H11</xm:sqref>
        </x14:dataValidation>
      </x14:dataValidation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C2E1-3B96-488C-BD10-FBF4F7A37354}">
  <dimension ref="A1:H53"/>
  <sheetViews>
    <sheetView topLeftCell="A14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+_xlfn.XLOOKUP($D$10,LIST!$B$3:$B$80,LIST!$C$3:$C$80)</f>
        <v>M3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400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23"/>
      <c r="F15" s="30"/>
      <c r="G15" s="28"/>
      <c r="H15" s="29"/>
    </row>
    <row r="16" spans="1:8">
      <c r="A16" s="473"/>
      <c r="B16" s="474"/>
      <c r="C16" s="474"/>
      <c r="D16" s="475"/>
      <c r="E16" s="23"/>
      <c r="F16" s="27"/>
      <c r="G16" s="28"/>
      <c r="H16" s="29"/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31"/>
      <c r="F19" s="32"/>
      <c r="G19" s="33"/>
      <c r="H19" s="29"/>
    </row>
    <row r="20" spans="1:8">
      <c r="A20" s="473" t="s">
        <v>33</v>
      </c>
      <c r="B20" s="474"/>
      <c r="C20" s="474"/>
      <c r="D20" s="475"/>
      <c r="E20" s="34" t="s">
        <v>34</v>
      </c>
      <c r="F20" s="35">
        <v>0.05</v>
      </c>
      <c r="G20" s="36">
        <f>H43</f>
        <v>39068.75</v>
      </c>
      <c r="H20" s="29">
        <f>F20*G20</f>
        <v>1953.4375</v>
      </c>
    </row>
    <row r="21" spans="1:8">
      <c r="A21" s="20"/>
      <c r="B21" s="21"/>
      <c r="C21" s="21"/>
      <c r="D21" s="21"/>
      <c r="E21" s="21"/>
      <c r="F21" s="21"/>
      <c r="G21" s="37" t="s">
        <v>35</v>
      </c>
      <c r="H21" s="38">
        <f>SUM(H15:H20)</f>
        <v>1953.4375</v>
      </c>
    </row>
    <row r="22" spans="1:8">
      <c r="A22" s="20"/>
      <c r="B22" s="21"/>
      <c r="C22" s="21"/>
      <c r="D22" s="21"/>
      <c r="E22" s="21"/>
      <c r="F22" s="21"/>
      <c r="G22" s="21"/>
      <c r="H22" s="22"/>
    </row>
    <row r="23" spans="1:8">
      <c r="A23" s="463" t="s">
        <v>36</v>
      </c>
      <c r="B23" s="463"/>
      <c r="C23" s="463"/>
      <c r="D23" s="463"/>
      <c r="E23" s="463"/>
      <c r="F23" s="463"/>
      <c r="G23" s="463"/>
      <c r="H23" s="463"/>
    </row>
    <row r="24" spans="1:8">
      <c r="A24" s="465" t="s">
        <v>4</v>
      </c>
      <c r="B24" s="466"/>
      <c r="C24" s="466"/>
      <c r="D24" s="24" t="s">
        <v>37</v>
      </c>
      <c r="E24" s="24" t="s">
        <v>5</v>
      </c>
      <c r="F24" s="24" t="s">
        <v>38</v>
      </c>
      <c r="G24" s="24" t="s">
        <v>39</v>
      </c>
      <c r="H24" s="26" t="s">
        <v>32</v>
      </c>
    </row>
    <row r="25" spans="1:8">
      <c r="A25" s="467"/>
      <c r="B25" s="467"/>
      <c r="C25" s="467"/>
      <c r="D25" s="69"/>
      <c r="E25" s="23"/>
      <c r="F25" s="65">
        <f>IF($A$25=0,0,VLOOKUP($A$25,EQUI!$A$2:$E$6,3,FALSE))</f>
        <v>0</v>
      </c>
      <c r="G25" s="142">
        <f>+IF($A$25=0,0,VLOOKUP($A$25,EQUI!$A$2:$E$6,5,FALSE))</f>
        <v>0</v>
      </c>
      <c r="H25" s="29">
        <f>F25*G25</f>
        <v>0</v>
      </c>
    </row>
    <row r="26" spans="1:8">
      <c r="A26" s="457"/>
      <c r="B26" s="458"/>
      <c r="C26" s="458"/>
      <c r="D26" s="27"/>
      <c r="E26" s="23"/>
      <c r="F26" s="23"/>
      <c r="G26" s="39"/>
      <c r="H26" s="29"/>
    </row>
    <row r="27" spans="1:8">
      <c r="A27" s="457"/>
      <c r="B27" s="458"/>
      <c r="C27" s="458"/>
      <c r="D27" s="40"/>
      <c r="E27" s="40"/>
      <c r="F27" s="40"/>
      <c r="G27" s="40"/>
      <c r="H27" s="41"/>
    </row>
    <row r="28" spans="1:8">
      <c r="A28" s="20"/>
      <c r="B28" s="21"/>
      <c r="C28" s="21"/>
      <c r="D28" s="21"/>
      <c r="E28" s="21"/>
      <c r="F28" s="21"/>
      <c r="G28" s="42" t="s">
        <v>35</v>
      </c>
      <c r="H28" s="38">
        <f>SUM(H25:H27)</f>
        <v>0</v>
      </c>
    </row>
    <row r="29" spans="1:8">
      <c r="A29" s="20"/>
      <c r="B29" s="21"/>
      <c r="C29" s="21"/>
      <c r="D29" s="21"/>
      <c r="E29" s="21"/>
      <c r="F29" s="21"/>
      <c r="G29" s="43"/>
      <c r="H29" s="44"/>
    </row>
    <row r="30" spans="1:8">
      <c r="A30" s="468" t="s">
        <v>40</v>
      </c>
      <c r="B30" s="469"/>
      <c r="C30" s="469"/>
      <c r="D30" s="469"/>
      <c r="E30" s="469"/>
      <c r="F30" s="469"/>
      <c r="G30" s="469"/>
      <c r="H30" s="470"/>
    </row>
    <row r="31" spans="1:8">
      <c r="A31" s="465" t="s">
        <v>41</v>
      </c>
      <c r="B31" s="466"/>
      <c r="C31" s="466"/>
      <c r="D31" s="24" t="s">
        <v>308</v>
      </c>
      <c r="E31" s="24" t="s">
        <v>43</v>
      </c>
      <c r="F31" s="24" t="s">
        <v>44</v>
      </c>
      <c r="G31" s="24" t="s">
        <v>45</v>
      </c>
      <c r="H31" s="26" t="s">
        <v>32</v>
      </c>
    </row>
    <row r="32" spans="1:8" ht="27.6" customHeight="1">
      <c r="A32" s="471"/>
      <c r="B32" s="471"/>
      <c r="C32" s="471"/>
      <c r="D32" s="146">
        <f>IF($A$32=0,0,VLOOKUP($A$32,TRANS!$A$2:$F$38,5,FALSE))</f>
        <v>0</v>
      </c>
      <c r="E32" s="46">
        <f>IF($A$32=0,0,VLOOKUP($A$32,TRANS!$A$2:$D$38,3,FALSE))</f>
        <v>0</v>
      </c>
      <c r="F32" s="23"/>
      <c r="G32" s="145">
        <f>IF($A$32=0,0,VLOOKUP($A$32,TRANS!$A$2:$D$38,4,FALSE))</f>
        <v>0</v>
      </c>
      <c r="H32" s="29">
        <f>+E32*F32*G32*D32</f>
        <v>0</v>
      </c>
    </row>
    <row r="33" spans="1:8">
      <c r="A33" s="472"/>
      <c r="B33" s="472"/>
      <c r="C33" s="472"/>
      <c r="D33" s="45"/>
      <c r="E33" s="23"/>
      <c r="F33" s="23"/>
      <c r="G33" s="47"/>
      <c r="H33" s="29"/>
    </row>
    <row r="34" spans="1:8">
      <c r="A34" s="457"/>
      <c r="B34" s="458"/>
      <c r="C34" s="458"/>
      <c r="D34" s="48"/>
      <c r="E34" s="23"/>
      <c r="F34" s="23"/>
      <c r="G34" s="49"/>
      <c r="H34" s="29"/>
    </row>
    <row r="35" spans="1:8">
      <c r="A35" s="457"/>
      <c r="B35" s="458"/>
      <c r="C35" s="458"/>
      <c r="D35" s="40"/>
      <c r="E35" s="40"/>
      <c r="F35" s="40"/>
      <c r="G35" s="40"/>
      <c r="H35" s="41"/>
    </row>
    <row r="36" spans="1:8">
      <c r="A36" s="20"/>
      <c r="B36" s="21"/>
      <c r="C36" s="21"/>
      <c r="D36" s="21"/>
      <c r="E36" s="21"/>
      <c r="F36" s="21"/>
      <c r="G36" s="50" t="s">
        <v>35</v>
      </c>
      <c r="H36" s="38">
        <f>SUM(H32:H35)</f>
        <v>0</v>
      </c>
    </row>
    <row r="37" spans="1:8">
      <c r="A37" s="20"/>
      <c r="B37" s="21"/>
      <c r="C37" s="21"/>
      <c r="D37" s="21"/>
      <c r="E37" s="21"/>
      <c r="F37" s="21"/>
      <c r="G37" s="43"/>
      <c r="H37" s="44"/>
    </row>
    <row r="38" spans="1:8">
      <c r="A38" s="463" t="s">
        <v>46</v>
      </c>
      <c r="B38" s="463"/>
      <c r="C38" s="463"/>
      <c r="D38" s="463"/>
      <c r="E38" s="463"/>
      <c r="F38" s="463"/>
      <c r="G38" s="464"/>
      <c r="H38" s="464"/>
    </row>
    <row r="39" spans="1:8" ht="27.6">
      <c r="A39" s="455" t="s">
        <v>4</v>
      </c>
      <c r="B39" s="456"/>
      <c r="C39" s="456"/>
      <c r="D39" s="51" t="s">
        <v>47</v>
      </c>
      <c r="E39" s="26" t="s">
        <v>22</v>
      </c>
      <c r="F39" s="26" t="s">
        <v>49</v>
      </c>
      <c r="G39" s="26" t="s">
        <v>50</v>
      </c>
      <c r="H39" s="26" t="s">
        <v>32</v>
      </c>
    </row>
    <row r="40" spans="1:8">
      <c r="A40" s="457" t="s">
        <v>51</v>
      </c>
      <c r="B40" s="458"/>
      <c r="C40" s="458"/>
      <c r="D40" s="52">
        <f>MO!F31/8</f>
        <v>24791.666666666668</v>
      </c>
      <c r="E40" s="23">
        <v>1</v>
      </c>
      <c r="F40" s="28">
        <f>D40*E40</f>
        <v>24791.666666666668</v>
      </c>
      <c r="G40" s="27">
        <f>+IF(AND($E$40=1,$E$41=1),VLOOKUP($D$10,'REND'!$B$4:$I$43,4,FALSE),IF(AND($E$40=1,$E$41=2),VLOOKUP($D$10,'REND'!$B$4:$I$43,5,FALSE),IF(AND($E$40=1,$E$41=3),VLOOKUP($D$10,'REND'!$B$4:$I$43,6,FALSE),IF(AND($E$40=1,$E$41=4),VLOOKUP($D$10,'REND'!$B$4:$I$43,7,FALSE),0))))</f>
        <v>0.56999999999999995</v>
      </c>
      <c r="H40" s="53">
        <f>F40*G40</f>
        <v>14131.25</v>
      </c>
    </row>
    <row r="41" spans="1:8">
      <c r="A41" s="457" t="s">
        <v>52</v>
      </c>
      <c r="B41" s="458"/>
      <c r="C41" s="458"/>
      <c r="D41" s="52">
        <f>MO!F14/8</f>
        <v>14583.333333333334</v>
      </c>
      <c r="E41" s="23">
        <v>3</v>
      </c>
      <c r="F41" s="28">
        <f>D41*E41</f>
        <v>43750</v>
      </c>
      <c r="G41" s="27">
        <f>+IF(AND($E$40=1,$E$41=1),VLOOKUP($D$10,'REND'!$B$4:$I$43,4,FALSE),IF(AND($E$40=1,$E$41=2),VLOOKUP($D$10,'REND'!$B$4:$I$43,5,FALSE),IF(AND($E$40=1,$E$41=3),VLOOKUP($D$10,'REND'!$B$4:$I$43,6,FALSE),IF(AND($E$40=1,$E$41=4),VLOOKUP($D$10,'REND'!$B$4:$I$43,7,FALSE),0))))</f>
        <v>0.56999999999999995</v>
      </c>
      <c r="H41" s="53">
        <f t="shared" ref="H41:H42" si="0">F41*G41</f>
        <v>24937.499999999996</v>
      </c>
    </row>
    <row r="42" spans="1:8">
      <c r="A42" s="457"/>
      <c r="B42" s="458"/>
      <c r="C42" s="458"/>
      <c r="D42" s="40"/>
      <c r="E42" s="40"/>
      <c r="F42" s="54"/>
      <c r="G42" s="40"/>
      <c r="H42" s="53">
        <f t="shared" si="0"/>
        <v>0</v>
      </c>
    </row>
    <row r="43" spans="1:8">
      <c r="A43" s="20"/>
      <c r="B43" s="21"/>
      <c r="C43" s="21"/>
      <c r="D43" s="21"/>
      <c r="E43" s="21"/>
      <c r="F43" s="21"/>
      <c r="G43" s="42" t="s">
        <v>35</v>
      </c>
      <c r="H43" s="53">
        <f>SUM(H40:H42)</f>
        <v>39068.75</v>
      </c>
    </row>
    <row r="44" spans="1:8">
      <c r="A44" s="20"/>
      <c r="B44" s="21"/>
      <c r="C44" s="21"/>
      <c r="D44" s="21"/>
      <c r="E44" s="21"/>
      <c r="F44" s="21"/>
      <c r="G44" s="21"/>
      <c r="H44" s="22"/>
    </row>
    <row r="45" spans="1:8">
      <c r="A45" s="459" t="s">
        <v>53</v>
      </c>
      <c r="B45" s="459"/>
      <c r="C45" s="459"/>
      <c r="D45" s="459"/>
      <c r="E45" s="459"/>
      <c r="F45" s="459"/>
      <c r="G45" s="459"/>
      <c r="H45" s="29">
        <f>ROUND(H21+H28+H36+H43,0)</f>
        <v>41022</v>
      </c>
    </row>
    <row r="46" spans="1:8">
      <c r="A46" s="55"/>
      <c r="B46" s="56"/>
      <c r="C46" s="56"/>
      <c r="D46" s="56"/>
      <c r="E46" s="56"/>
      <c r="F46" s="56"/>
      <c r="G46" s="56"/>
      <c r="H46" s="57"/>
    </row>
    <row r="47" spans="1:8">
      <c r="A47" s="55"/>
      <c r="B47" s="56"/>
      <c r="C47" s="56"/>
      <c r="D47" s="56"/>
      <c r="E47" s="56"/>
      <c r="F47" s="56"/>
      <c r="G47" s="56"/>
      <c r="H47" s="57"/>
    </row>
    <row r="48" spans="1:8">
      <c r="A48" s="55"/>
      <c r="B48" s="56"/>
      <c r="C48" s="56"/>
      <c r="D48" s="56"/>
      <c r="E48" s="56"/>
      <c r="F48" s="56"/>
      <c r="G48" s="56"/>
      <c r="H48" s="57"/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8"/>
      <c r="B50" s="59"/>
      <c r="C50" s="59"/>
      <c r="D50" s="59"/>
      <c r="E50" s="59"/>
      <c r="F50" s="59"/>
      <c r="G50" s="59"/>
      <c r="H50" s="60"/>
    </row>
    <row r="51" spans="1:8">
      <c r="A51" s="460" t="s">
        <v>292</v>
      </c>
      <c r="B51" s="461"/>
      <c r="C51" s="461"/>
      <c r="D51" s="461"/>
      <c r="E51" s="59"/>
      <c r="F51" s="461" t="s">
        <v>310</v>
      </c>
      <c r="G51" s="461"/>
      <c r="H51" s="462"/>
    </row>
    <row r="52" spans="1:8">
      <c r="A52" s="451" t="s">
        <v>291</v>
      </c>
      <c r="B52" s="452"/>
      <c r="C52" s="452"/>
      <c r="D52" s="452"/>
      <c r="E52" s="59"/>
      <c r="F52" s="453" t="s">
        <v>54</v>
      </c>
      <c r="G52" s="453"/>
      <c r="H52" s="454"/>
    </row>
    <row r="53" spans="1:8">
      <c r="A53" s="61"/>
      <c r="B53" s="62"/>
      <c r="C53" s="62"/>
      <c r="D53" s="62"/>
      <c r="E53" s="62"/>
      <c r="F53" s="62"/>
      <c r="G53" s="62"/>
      <c r="H53" s="63"/>
    </row>
  </sheetData>
  <mergeCells count="37"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32:C32"/>
    <mergeCell ref="A17:D17"/>
    <mergeCell ref="A18:D18"/>
    <mergeCell ref="A19:D19"/>
    <mergeCell ref="A20:D20"/>
    <mergeCell ref="A23:H23"/>
    <mergeCell ref="A24:C24"/>
    <mergeCell ref="A25:C25"/>
    <mergeCell ref="A26:C26"/>
    <mergeCell ref="A27:C27"/>
    <mergeCell ref="A30:H30"/>
    <mergeCell ref="A31:C31"/>
    <mergeCell ref="A52:D52"/>
    <mergeCell ref="F52:H52"/>
    <mergeCell ref="A33:C33"/>
    <mergeCell ref="A34:C34"/>
    <mergeCell ref="A35:C35"/>
    <mergeCell ref="A38:H38"/>
    <mergeCell ref="A39:C39"/>
    <mergeCell ref="A40:C40"/>
    <mergeCell ref="A41:C41"/>
    <mergeCell ref="A42:C42"/>
    <mergeCell ref="A45:G45"/>
    <mergeCell ref="A51:D51"/>
    <mergeCell ref="F51:H51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2CB5D616-AE34-4601-BEA7-088D78F1E674}">
          <x14:formula1>
            <xm:f>TRANS!$A$2:$A$20</xm:f>
          </x14:formula1>
          <xm:sqref>A32:C32</xm:sqref>
        </x14:dataValidation>
        <x14:dataValidation type="list" allowBlank="1" showInputMessage="1" showErrorMessage="1" xr:uid="{4B7F5267-CB65-4143-A0E8-874C248697DB}">
          <x14:formula1>
            <xm:f>EQUI!$A$2:$A$38</xm:f>
          </x14:formula1>
          <xm:sqref>A25:C25</xm:sqref>
        </x14:dataValidation>
        <x14:dataValidation type="list" showInputMessage="1" showErrorMessage="1" xr:uid="{D662559E-53FA-43B1-B293-1BFE27A5B211}">
          <x14:formula1>
            <xm:f>INS!$A$2:$A$89</xm:f>
          </x14:formula1>
          <xm:sqref>A15:D15</xm:sqref>
        </x14:dataValidation>
        <x14:dataValidation type="list" showInputMessage="1" showErrorMessage="1" xr:uid="{E44D1D7F-3284-434B-93BF-58B23787D45F}">
          <x14:formula1>
            <xm:f>LIST!$B$3:$B$85</xm:f>
          </x14:formula1>
          <xm:sqref>D10:H11</xm:sqref>
        </x14:dataValidation>
      </x14:dataValidation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57AD9-CE23-475F-A75D-1D174B8529F2}">
  <dimension ref="A1:H56"/>
  <sheetViews>
    <sheetView topLeftCell="A25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+_xlfn.XLOOKUP($D$10,LIST!$B$3:$B$80,LIST!$C$3:$C$80)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315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23"/>
      <c r="F15" s="30"/>
      <c r="G15" s="28"/>
      <c r="H15" s="29"/>
    </row>
    <row r="16" spans="1:8">
      <c r="A16" s="473"/>
      <c r="B16" s="474"/>
      <c r="C16" s="474"/>
      <c r="D16" s="475"/>
      <c r="E16" s="23"/>
      <c r="F16" s="27"/>
      <c r="G16" s="28"/>
      <c r="H16" s="29"/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15764.583333333334</v>
      </c>
      <c r="H22" s="29">
        <f>F22*G22</f>
        <v>788.22916666666674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788.22916666666674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IF($A$27=0,0,VLOOKUP($A$27,EQUI!$A$2:$E$6,3,FALSE))</f>
        <v>0</v>
      </c>
      <c r="G27" s="142">
        <f>+IF($A$27=0,0,VLOOKUP($A$27,EQUI!$A$2:$E$6,5,FALSE))</f>
        <v>0</v>
      </c>
      <c r="H27" s="29">
        <f>F27*G27</f>
        <v>0</v>
      </c>
    </row>
    <row r="28" spans="1:8">
      <c r="A28" s="457"/>
      <c r="B28" s="458"/>
      <c r="C28" s="458"/>
      <c r="D28" s="27"/>
      <c r="E28" s="23"/>
      <c r="F28" s="23"/>
      <c r="G28" s="39"/>
      <c r="H28" s="29"/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IF($A$35=0,0,VLOOKUP($A$35,TRANS!$A$2:$D$38,3,FALSE))</f>
        <v>0</v>
      </c>
      <c r="F35" s="23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0.23</v>
      </c>
      <c r="H43" s="53">
        <f>F43*G43</f>
        <v>5702.0833333333339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3</v>
      </c>
      <c r="F44" s="28">
        <f>D44*E44</f>
        <v>43750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0.23</v>
      </c>
      <c r="H44" s="53">
        <f t="shared" ref="H44:H45" si="0">F44*G44</f>
        <v>10062.5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15764.583333333334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16553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18:D18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16:D16"/>
    <mergeCell ref="A17:D17"/>
    <mergeCell ref="A35:C35"/>
    <mergeCell ref="A19:D19"/>
    <mergeCell ref="A20:D20"/>
    <mergeCell ref="A21:D21"/>
    <mergeCell ref="A22:D22"/>
    <mergeCell ref="A25:H25"/>
    <mergeCell ref="A26:C26"/>
    <mergeCell ref="A27:C27"/>
    <mergeCell ref="A29:C29"/>
    <mergeCell ref="A30:C30"/>
    <mergeCell ref="A33:H33"/>
    <mergeCell ref="A34:C34"/>
    <mergeCell ref="A28:C28"/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2372AE64-3D9A-45C9-81CF-83F513B5574A}">
          <x14:formula1>
            <xm:f>INS!$A$2:$A$89</xm:f>
          </x14:formula1>
          <xm:sqref>A15:D15</xm:sqref>
        </x14:dataValidation>
        <x14:dataValidation type="list" allowBlank="1" showInputMessage="1" showErrorMessage="1" xr:uid="{4F795F73-7AA2-4A76-9C11-14D311C5EFF4}">
          <x14:formula1>
            <xm:f>EQUI!$A$2:$A$38</xm:f>
          </x14:formula1>
          <xm:sqref>A27:C27</xm:sqref>
        </x14:dataValidation>
        <x14:dataValidation type="list" showInputMessage="1" showErrorMessage="1" xr:uid="{E4E88E63-B22E-4DE3-AB0D-18F1AEE4BF12}">
          <x14:formula1>
            <xm:f>TRANS!$A$2:$A$20</xm:f>
          </x14:formula1>
          <xm:sqref>A35:C35</xm:sqref>
        </x14:dataValidation>
        <x14:dataValidation type="list" showInputMessage="1" showErrorMessage="1" xr:uid="{EB4F666D-5E21-43D7-B116-93FF39CDF538}">
          <x14:formula1>
            <xm:f>LIST!$B$3:$B$85</xm:f>
          </x14:formula1>
          <xm:sqref>D10:H11</xm:sqref>
        </x14:dataValidation>
      </x14:dataValidation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24E9F-C543-459C-A2E1-CAAAAF2A5E08}">
  <dimension ref="A1:H56"/>
  <sheetViews>
    <sheetView topLeftCell="A27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+_xlfn.XLOOKUP(D10,PTO!$D$4:$D$27,PTO!$C$4:$C$27)</f>
        <v>#N/A</v>
      </c>
      <c r="E9" s="24" t="s">
        <v>28</v>
      </c>
      <c r="F9" s="23" t="str">
        <f>+_xlfn.XLOOKUP($D$10,LIST!$B$3:$B$80,LIST!$C$3:$C$80)</f>
        <v>GLOBAL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316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23"/>
      <c r="F15" s="30"/>
      <c r="G15" s="28"/>
      <c r="H15" s="29"/>
    </row>
    <row r="16" spans="1:8">
      <c r="A16" s="473"/>
      <c r="B16" s="474"/>
      <c r="C16" s="474"/>
      <c r="D16" s="475"/>
      <c r="E16" s="23"/>
      <c r="F16" s="27"/>
      <c r="G16" s="28"/>
      <c r="H16" s="29"/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685416.66666666674</v>
      </c>
      <c r="H22" s="29">
        <f>F22*G22</f>
        <v>34270.833333333336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34270.833333333336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/>
      <c r="B27" s="467"/>
      <c r="C27" s="467"/>
      <c r="D27" s="69"/>
      <c r="E27" s="23"/>
      <c r="F27" s="65">
        <f>IF($A$27=0,0,VLOOKUP($A$27,EQUI!$A$2:$E$6,3,FALSE))</f>
        <v>0</v>
      </c>
      <c r="G27" s="142">
        <f>+IF($A$27=0,0,VLOOKUP($A$27,EQUI!$A$2:$E$6,5,FALSE))</f>
        <v>0</v>
      </c>
      <c r="H27" s="29">
        <f>F27*G27</f>
        <v>0</v>
      </c>
    </row>
    <row r="28" spans="1:8">
      <c r="A28" s="352"/>
      <c r="B28" s="353"/>
      <c r="C28" s="353"/>
      <c r="D28" s="69"/>
      <c r="E28" s="23"/>
      <c r="F28" s="65"/>
      <c r="G28" s="142"/>
      <c r="H28" s="29"/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/>
      <c r="B35" s="471"/>
      <c r="C35" s="471"/>
      <c r="D35" s="146">
        <f>IF($A$35=0,0,VLOOKUP($A$35,TRANS!$A$2:$F$38,5,FALSE))</f>
        <v>0</v>
      </c>
      <c r="E35" s="46">
        <f>IF($A$35=0,0,VLOOKUP($A$35,TRANS!$A$2:$D$38,3,FALSE))</f>
        <v>0</v>
      </c>
      <c r="F35" s="23"/>
      <c r="G35" s="145">
        <f>IF($A$35=0,0,VLOOKUP($A$35,TRANS!$A$2:$D$38,4,FALSE))</f>
        <v>0</v>
      </c>
      <c r="H35" s="29">
        <f>+E35*F35*G35*D35</f>
        <v>0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10</v>
      </c>
      <c r="H43" s="53">
        <f>F43*G43</f>
        <v>247916.66666666669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3</v>
      </c>
      <c r="F44" s="28">
        <f>D44*E44</f>
        <v>43750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10</v>
      </c>
      <c r="H44" s="53">
        <f t="shared" ref="H44:H45" si="0">F44*G44</f>
        <v>437500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685416.66666666674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719688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18:D18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16:D16"/>
    <mergeCell ref="A17:D17"/>
    <mergeCell ref="A35:C35"/>
    <mergeCell ref="A19:D19"/>
    <mergeCell ref="A20:D20"/>
    <mergeCell ref="A21:D21"/>
    <mergeCell ref="A22:D22"/>
    <mergeCell ref="A25:H25"/>
    <mergeCell ref="A26:C26"/>
    <mergeCell ref="A27:C27"/>
    <mergeCell ref="A29:C29"/>
    <mergeCell ref="A30:C30"/>
    <mergeCell ref="A33:H33"/>
    <mergeCell ref="A34:C34"/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68386B30-80D4-4CFE-B980-665AF4B0A186}">
          <x14:formula1>
            <xm:f>TRANS!$A$2:$A$20</xm:f>
          </x14:formula1>
          <xm:sqref>A35:C35</xm:sqref>
        </x14:dataValidation>
        <x14:dataValidation type="list" allowBlank="1" showInputMessage="1" showErrorMessage="1" xr:uid="{AB4BB033-A2A2-4804-92AF-8DEA79806922}">
          <x14:formula1>
            <xm:f>EQUI!$A$2:$A$38</xm:f>
          </x14:formula1>
          <xm:sqref>A27:C28</xm:sqref>
        </x14:dataValidation>
        <x14:dataValidation type="list" showInputMessage="1" showErrorMessage="1" xr:uid="{55AEEE61-F0ED-4EB8-949A-5B5BE4C469EB}">
          <x14:formula1>
            <xm:f>INS!$A$2:$A$89</xm:f>
          </x14:formula1>
          <xm:sqref>A15:D15</xm:sqref>
        </x14:dataValidation>
        <x14:dataValidation type="list" showInputMessage="1" showErrorMessage="1" xr:uid="{84156034-FCAA-4E67-A9DB-360EC6DE150A}">
          <x14:formula1>
            <xm:f>LIST!$B$3:$B$85</xm:f>
          </x14:formula1>
          <xm:sqref>D10:H11</xm:sqref>
        </x14:dataValidation>
      </x14:dataValidation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32075-1FC0-4FA5-9125-7FDDD8172424}">
  <dimension ref="A1:H56"/>
  <sheetViews>
    <sheetView topLeftCell="A29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e">
        <f>+PTO!#REF!</f>
        <v>#REF!</v>
      </c>
      <c r="E9" s="24" t="s">
        <v>28</v>
      </c>
      <c r="F9" s="23" t="str">
        <f>+VLOOKUP($D$10,LIST!B3:C54,2,FALSE)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85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23"/>
      <c r="F15" s="30"/>
      <c r="G15" s="28"/>
      <c r="H15" s="29"/>
    </row>
    <row r="16" spans="1:8">
      <c r="A16" s="473"/>
      <c r="B16" s="474"/>
      <c r="C16" s="474"/>
      <c r="D16" s="475"/>
      <c r="E16" s="23"/>
      <c r="F16" s="27"/>
      <c r="G16" s="28"/>
      <c r="H16" s="29"/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324"/>
      <c r="B19" s="325"/>
      <c r="C19" s="325"/>
      <c r="D19" s="326"/>
      <c r="E19" s="23"/>
      <c r="F19" s="27"/>
      <c r="G19" s="28"/>
      <c r="H19" s="29"/>
    </row>
    <row r="20" spans="1:8">
      <c r="A20" s="473"/>
      <c r="B20" s="474"/>
      <c r="C20" s="474"/>
      <c r="D20" s="475"/>
      <c r="E20" s="23"/>
      <c r="F20" s="30"/>
      <c r="G20" s="28"/>
      <c r="H20" s="29"/>
    </row>
    <row r="21" spans="1:8">
      <c r="A21" s="473"/>
      <c r="B21" s="474"/>
      <c r="C21" s="474"/>
      <c r="D21" s="475"/>
      <c r="E21" s="23"/>
      <c r="F21" s="27"/>
      <c r="G21" s="28"/>
      <c r="H21" s="29"/>
    </row>
    <row r="22" spans="1:8">
      <c r="A22" s="473"/>
      <c r="B22" s="474"/>
      <c r="C22" s="474"/>
      <c r="D22" s="475"/>
      <c r="E22" s="31"/>
      <c r="F22" s="32"/>
      <c r="G22" s="33"/>
      <c r="H22" s="29"/>
    </row>
    <row r="23" spans="1:8">
      <c r="A23" s="473" t="s">
        <v>33</v>
      </c>
      <c r="B23" s="474"/>
      <c r="C23" s="474"/>
      <c r="D23" s="475"/>
      <c r="E23" s="34" t="s">
        <v>34</v>
      </c>
      <c r="F23" s="35">
        <v>0.05</v>
      </c>
      <c r="G23" s="36">
        <f>H46</f>
        <v>26979.166666666668</v>
      </c>
      <c r="H23" s="29">
        <f>F23*G23</f>
        <v>1348.9583333333335</v>
      </c>
    </row>
    <row r="24" spans="1:8">
      <c r="A24" s="20"/>
      <c r="B24" s="21"/>
      <c r="C24" s="21"/>
      <c r="D24" s="21"/>
      <c r="E24" s="21"/>
      <c r="F24" s="21"/>
      <c r="G24" s="37" t="s">
        <v>35</v>
      </c>
      <c r="H24" s="38">
        <f>SUM(H15:H23)</f>
        <v>1348.9583333333335</v>
      </c>
    </row>
    <row r="25" spans="1:8">
      <c r="A25" s="20"/>
      <c r="B25" s="21"/>
      <c r="C25" s="21"/>
      <c r="D25" s="21"/>
      <c r="E25" s="21"/>
      <c r="F25" s="21"/>
      <c r="G25" s="21"/>
      <c r="H25" s="22"/>
    </row>
    <row r="26" spans="1:8">
      <c r="A26" s="463" t="s">
        <v>36</v>
      </c>
      <c r="B26" s="463"/>
      <c r="C26" s="463"/>
      <c r="D26" s="463"/>
      <c r="E26" s="463"/>
      <c r="F26" s="463"/>
      <c r="G26" s="463"/>
      <c r="H26" s="463"/>
    </row>
    <row r="27" spans="1:8">
      <c r="A27" s="465" t="s">
        <v>4</v>
      </c>
      <c r="B27" s="466"/>
      <c r="C27" s="466"/>
      <c r="D27" s="24" t="s">
        <v>37</v>
      </c>
      <c r="E27" s="24" t="s">
        <v>5</v>
      </c>
      <c r="F27" s="24" t="s">
        <v>38</v>
      </c>
      <c r="G27" s="24" t="s">
        <v>39</v>
      </c>
      <c r="H27" s="26" t="s">
        <v>32</v>
      </c>
    </row>
    <row r="28" spans="1:8">
      <c r="A28" s="467" t="s">
        <v>87</v>
      </c>
      <c r="B28" s="467"/>
      <c r="C28" s="467"/>
      <c r="D28" s="69"/>
      <c r="E28" s="23"/>
      <c r="F28" s="65">
        <f>IF($A$28=0,0,VLOOKUP($A$28,EQUI!$A$2:$E$6,3,FALSE))</f>
        <v>50000</v>
      </c>
      <c r="G28" s="142">
        <f>+IF($A$28=0,0,VLOOKUP($A$28,EQUI!$A$2:$E$6,5,FALSE))</f>
        <v>0.2</v>
      </c>
      <c r="H28" s="29">
        <f>F28*G28</f>
        <v>10000</v>
      </c>
    </row>
    <row r="29" spans="1:8">
      <c r="A29" s="457"/>
      <c r="B29" s="458"/>
      <c r="C29" s="458"/>
      <c r="D29" s="27"/>
      <c r="E29" s="23"/>
      <c r="F29" s="23"/>
      <c r="G29" s="39"/>
      <c r="H29" s="29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SUM(H28:H30)</f>
        <v>10000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308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 ht="27.6" customHeight="1">
      <c r="A35" s="471" t="s">
        <v>309</v>
      </c>
      <c r="B35" s="471"/>
      <c r="C35" s="471"/>
      <c r="D35" s="146">
        <f>IF($A$35=0,0,VLOOKUP($A$35,TRANS!$A$2:$F$38,5,FALSE))</f>
        <v>1.3</v>
      </c>
      <c r="E35" s="46">
        <f>IF($A$35=0,0,VLOOKUP($A$35,TRANS!$A$2:$D$38,3,FALSE))</f>
        <v>5</v>
      </c>
      <c r="F35" s="23">
        <v>0.14000000000000001</v>
      </c>
      <c r="G35" s="145">
        <f>IF($A$35=0,0,VLOOKUP($A$35,TRANS!$A$2:$D$38,4,FALSE))</f>
        <v>1800</v>
      </c>
      <c r="H35" s="29">
        <f>+E35*F35*G35*D35</f>
        <v>1638.0000000000005</v>
      </c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1638.0000000000005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53">
        <f>F43*G43</f>
        <v>12395.833333333334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53">
        <f t="shared" ref="H44:H45" si="0">F44*G44</f>
        <v>14583.333333333334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26979.166666666668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ROUND(H24+H31+H39+H46,0)</f>
        <v>39966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39">
    <mergeCell ref="A18:D18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16:D16"/>
    <mergeCell ref="A17:D17"/>
    <mergeCell ref="A35:C35"/>
    <mergeCell ref="A20:D20"/>
    <mergeCell ref="A21:D21"/>
    <mergeCell ref="A22:D22"/>
    <mergeCell ref="A23:D23"/>
    <mergeCell ref="A26:H26"/>
    <mergeCell ref="A27:C27"/>
    <mergeCell ref="A28:C28"/>
    <mergeCell ref="A29:C29"/>
    <mergeCell ref="A30:C30"/>
    <mergeCell ref="A33:H33"/>
    <mergeCell ref="A34:C34"/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E6FB69F7-F385-445D-95D0-43F1CCD70B61}">
          <x14:formula1>
            <xm:f>INS!$A$2:$A$89</xm:f>
          </x14:formula1>
          <xm:sqref>A15:D15</xm:sqref>
        </x14:dataValidation>
        <x14:dataValidation type="list" allowBlank="1" showInputMessage="1" showErrorMessage="1" xr:uid="{A7A6E128-EADB-4E55-AFBA-385A260F93CF}">
          <x14:formula1>
            <xm:f>EQUI!$A$2:$A$38</xm:f>
          </x14:formula1>
          <xm:sqref>A28:C28</xm:sqref>
        </x14:dataValidation>
        <x14:dataValidation type="list" showInputMessage="1" showErrorMessage="1" xr:uid="{995CAB04-C1EA-491A-BE28-F23EA61AF3E4}">
          <x14:formula1>
            <xm:f>TRANS!$A$2:$A$20</xm:f>
          </x14:formula1>
          <xm:sqref>A35:C35</xm:sqref>
        </x14:dataValidation>
        <x14:dataValidation type="list" showInputMessage="1" showErrorMessage="1" xr:uid="{EFD58C15-7512-4094-B5C4-E9640B26E5E6}">
          <x14:formula1>
            <xm:f>LIST!$B$3:$B$85</xm:f>
          </x14:formula1>
          <xm:sqref>D10:H11</xm:sqref>
        </x14:dataValidation>
      </x14:dataValidations>
    </ext>
  </extLst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AD247-1EB5-4882-AF44-534C1F069E3B}">
  <dimension ref="A1:H56"/>
  <sheetViews>
    <sheetView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5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487" t="str">
        <f>+PTO!D3</f>
        <v>MEJORAMIENTO DE LAS IET GENERAL SANTANDER SEDE PRINCIPAL Y FRANCISCO JULIAN OLAYA SEDE PRINCIPAL DEL MUNICIPIO DE RIOBLANCO TOLIMA</v>
      </c>
      <c r="C6" s="487"/>
      <c r="D6" s="487"/>
      <c r="E6" s="487"/>
      <c r="F6" s="487"/>
      <c r="G6" s="487"/>
      <c r="H6" s="487"/>
    </row>
    <row r="7" spans="1:8" ht="24.75" customHeight="1">
      <c r="A7" s="486"/>
      <c r="B7" s="487"/>
      <c r="C7" s="487"/>
      <c r="D7" s="487"/>
      <c r="E7" s="487"/>
      <c r="F7" s="487"/>
      <c r="G7" s="487"/>
      <c r="H7" s="487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str">
        <f>+PTO!B7</f>
        <v>P-0007</v>
      </c>
      <c r="E9" s="24" t="s">
        <v>28</v>
      </c>
      <c r="F9" s="23" t="str">
        <f>+VLOOKUP($D$10,LIST!B3:C54,2,FALSE)</f>
        <v>M2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">
        <v>294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/>
      <c r="B15" s="474"/>
      <c r="C15" s="474"/>
      <c r="D15" s="475"/>
      <c r="E15" s="23"/>
      <c r="F15" s="30"/>
      <c r="G15" s="28"/>
      <c r="H15" s="29"/>
    </row>
    <row r="16" spans="1:8">
      <c r="A16" s="473"/>
      <c r="B16" s="474"/>
      <c r="C16" s="474"/>
      <c r="D16" s="475"/>
      <c r="E16" s="23"/>
      <c r="F16" s="27"/>
      <c r="G16" s="28"/>
      <c r="H16" s="29"/>
    </row>
    <row r="17" spans="1:8">
      <c r="A17" s="473"/>
      <c r="B17" s="474"/>
      <c r="C17" s="474"/>
      <c r="D17" s="475"/>
      <c r="E17" s="23"/>
      <c r="F17" s="30"/>
      <c r="G17" s="28"/>
      <c r="H17" s="29"/>
    </row>
    <row r="18" spans="1:8">
      <c r="A18" s="473"/>
      <c r="B18" s="474"/>
      <c r="C18" s="474"/>
      <c r="D18" s="475"/>
      <c r="E18" s="23"/>
      <c r="F18" s="27"/>
      <c r="G18" s="28"/>
      <c r="H18" s="29"/>
    </row>
    <row r="19" spans="1:8">
      <c r="A19" s="473"/>
      <c r="B19" s="474"/>
      <c r="C19" s="474"/>
      <c r="D19" s="475"/>
      <c r="E19" s="23"/>
      <c r="F19" s="30"/>
      <c r="G19" s="28"/>
      <c r="H19" s="29"/>
    </row>
    <row r="20" spans="1:8">
      <c r="A20" s="473"/>
      <c r="B20" s="474"/>
      <c r="C20" s="474"/>
      <c r="D20" s="475"/>
      <c r="E20" s="23"/>
      <c r="F20" s="27"/>
      <c r="G20" s="28"/>
      <c r="H20" s="29"/>
    </row>
    <row r="21" spans="1:8">
      <c r="A21" s="473"/>
      <c r="B21" s="474"/>
      <c r="C21" s="474"/>
      <c r="D21" s="475"/>
      <c r="E21" s="31"/>
      <c r="F21" s="32"/>
      <c r="G21" s="33"/>
      <c r="H21" s="29"/>
    </row>
    <row r="22" spans="1:8">
      <c r="A22" s="473" t="s">
        <v>33</v>
      </c>
      <c r="B22" s="474"/>
      <c r="C22" s="474"/>
      <c r="D22" s="475"/>
      <c r="E22" s="34" t="s">
        <v>34</v>
      </c>
      <c r="F22" s="35">
        <v>0.05</v>
      </c>
      <c r="G22" s="36">
        <f>H46</f>
        <v>26979.166666666668</v>
      </c>
      <c r="H22" s="29">
        <f>F22*G22</f>
        <v>1348.9583333333335</v>
      </c>
    </row>
    <row r="23" spans="1:8">
      <c r="A23" s="20"/>
      <c r="B23" s="21"/>
      <c r="C23" s="21"/>
      <c r="D23" s="21"/>
      <c r="E23" s="21"/>
      <c r="F23" s="21"/>
      <c r="G23" s="37" t="s">
        <v>35</v>
      </c>
      <c r="H23" s="38">
        <f>SUM(H15:H22)</f>
        <v>1348.9583333333335</v>
      </c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>
      <c r="A25" s="463" t="s">
        <v>36</v>
      </c>
      <c r="B25" s="463"/>
      <c r="C25" s="463"/>
      <c r="D25" s="463"/>
      <c r="E25" s="463"/>
      <c r="F25" s="463"/>
      <c r="G25" s="463"/>
      <c r="H25" s="463"/>
    </row>
    <row r="26" spans="1:8">
      <c r="A26" s="465" t="s">
        <v>4</v>
      </c>
      <c r="B26" s="466"/>
      <c r="C26" s="466"/>
      <c r="D26" s="24" t="s">
        <v>37</v>
      </c>
      <c r="E26" s="24" t="s">
        <v>5</v>
      </c>
      <c r="F26" s="24" t="s">
        <v>38</v>
      </c>
      <c r="G26" s="24" t="s">
        <v>39</v>
      </c>
      <c r="H26" s="26" t="s">
        <v>32</v>
      </c>
    </row>
    <row r="27" spans="1:8">
      <c r="A27" s="467" t="s">
        <v>86</v>
      </c>
      <c r="B27" s="467"/>
      <c r="C27" s="467"/>
      <c r="D27" s="69"/>
      <c r="E27" s="23"/>
      <c r="F27" s="65">
        <f>IF($A$27=0,0,VLOOKUP($A$27,EQUI!$A$2:$E$6,3,FALSE))</f>
        <v>50000</v>
      </c>
      <c r="G27" s="142">
        <f>+IF($A$27=0,0,VLOOKUP($A$27,EQUI!$A$2:$E$6,5,FALSE))</f>
        <v>0.2</v>
      </c>
      <c r="H27" s="29">
        <f>F27*G27</f>
        <v>10000</v>
      </c>
    </row>
    <row r="28" spans="1:8">
      <c r="A28" s="457"/>
      <c r="B28" s="458"/>
      <c r="C28" s="458"/>
      <c r="D28" s="27"/>
      <c r="E28" s="23"/>
      <c r="F28" s="23"/>
      <c r="G28" s="39"/>
      <c r="H28" s="29"/>
    </row>
    <row r="29" spans="1:8">
      <c r="A29" s="457"/>
      <c r="B29" s="458"/>
      <c r="C29" s="458"/>
      <c r="D29" s="40"/>
      <c r="E29" s="40"/>
      <c r="F29" s="40"/>
      <c r="G29" s="40"/>
      <c r="H29" s="41"/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SUM(H27:H30)</f>
        <v>10000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42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>
      <c r="A35" s="472"/>
      <c r="B35" s="472"/>
      <c r="C35" s="472"/>
      <c r="D35" s="45"/>
      <c r="E35" s="46"/>
      <c r="F35" s="23"/>
      <c r="G35" s="47"/>
      <c r="H35" s="29"/>
    </row>
    <row r="36" spans="1:8">
      <c r="A36" s="472"/>
      <c r="B36" s="472"/>
      <c r="C36" s="472"/>
      <c r="D36" s="45"/>
      <c r="E36" s="23"/>
      <c r="F36" s="23"/>
      <c r="G36" s="47"/>
      <c r="H36" s="29"/>
    </row>
    <row r="37" spans="1:8">
      <c r="A37" s="457"/>
      <c r="B37" s="458"/>
      <c r="C37" s="458"/>
      <c r="D37" s="48"/>
      <c r="E37" s="23"/>
      <c r="F37" s="23"/>
      <c r="G37" s="49"/>
      <c r="H37" s="29"/>
    </row>
    <row r="38" spans="1:8">
      <c r="A38" s="457"/>
      <c r="B38" s="458"/>
      <c r="C38" s="458"/>
      <c r="D38" s="40"/>
      <c r="E38" s="40"/>
      <c r="F38" s="40"/>
      <c r="G38" s="40"/>
      <c r="H38" s="41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22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53">
        <f>F43*G43</f>
        <v>12395.833333333334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2</v>
      </c>
      <c r="F44" s="28">
        <f>D44*E44</f>
        <v>29166.666666666668</v>
      </c>
      <c r="G44" s="27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53">
        <f t="shared" ref="H44:H45" si="0">F44*G44</f>
        <v>14583.333333333334</v>
      </c>
    </row>
    <row r="45" spans="1:8">
      <c r="A45" s="457"/>
      <c r="B45" s="458"/>
      <c r="C45" s="458"/>
      <c r="D45" s="40"/>
      <c r="E45" s="40"/>
      <c r="F45" s="54"/>
      <c r="G45" s="40"/>
      <c r="H45" s="53">
        <f t="shared" si="0"/>
        <v>0</v>
      </c>
    </row>
    <row r="46" spans="1:8">
      <c r="A46" s="20"/>
      <c r="B46" s="21"/>
      <c r="C46" s="21"/>
      <c r="D46" s="21"/>
      <c r="E46" s="21"/>
      <c r="F46" s="21"/>
      <c r="G46" s="42" t="s">
        <v>35</v>
      </c>
      <c r="H46" s="53">
        <f>SUM(H43:H45)</f>
        <v>26979.166666666668</v>
      </c>
    </row>
    <row r="47" spans="1:8">
      <c r="A47" s="20"/>
      <c r="B47" s="21"/>
      <c r="C47" s="21"/>
      <c r="D47" s="21"/>
      <c r="E47" s="21"/>
      <c r="F47" s="21"/>
      <c r="G47" s="21"/>
      <c r="H47" s="22"/>
    </row>
    <row r="48" spans="1:8">
      <c r="A48" s="459" t="s">
        <v>53</v>
      </c>
      <c r="B48" s="459"/>
      <c r="C48" s="459"/>
      <c r="D48" s="459"/>
      <c r="E48" s="459"/>
      <c r="F48" s="459"/>
      <c r="G48" s="459"/>
      <c r="H48" s="29">
        <f>ROUND(H23+H31+H39+H46,0)</f>
        <v>38328</v>
      </c>
    </row>
    <row r="49" spans="1:8">
      <c r="A49" s="55"/>
      <c r="B49" s="56"/>
      <c r="C49" s="56"/>
      <c r="D49" s="56"/>
      <c r="E49" s="56"/>
      <c r="F49" s="56"/>
      <c r="G49" s="56"/>
      <c r="H49" s="57"/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8"/>
      <c r="B53" s="59"/>
      <c r="C53" s="59"/>
      <c r="D53" s="59"/>
      <c r="E53" s="59"/>
      <c r="F53" s="59"/>
      <c r="G53" s="59"/>
      <c r="H53" s="60"/>
    </row>
    <row r="54" spans="1:8">
      <c r="A54" s="460" t="s">
        <v>292</v>
      </c>
      <c r="B54" s="461"/>
      <c r="C54" s="461"/>
      <c r="D54" s="461"/>
      <c r="E54" s="59"/>
      <c r="F54" s="461" t="s">
        <v>310</v>
      </c>
      <c r="G54" s="461"/>
      <c r="H54" s="462"/>
    </row>
    <row r="55" spans="1:8">
      <c r="A55" s="451" t="s">
        <v>291</v>
      </c>
      <c r="B55" s="452"/>
      <c r="C55" s="452"/>
      <c r="D55" s="452"/>
      <c r="E55" s="59"/>
      <c r="F55" s="453" t="s">
        <v>54</v>
      </c>
      <c r="G55" s="453"/>
      <c r="H55" s="454"/>
    </row>
    <row r="56" spans="1:8">
      <c r="A56" s="61"/>
      <c r="B56" s="62"/>
      <c r="C56" s="62"/>
      <c r="D56" s="62"/>
      <c r="E56" s="62"/>
      <c r="F56" s="62"/>
      <c r="G56" s="62"/>
      <c r="H56" s="63"/>
    </row>
  </sheetData>
  <mergeCells count="40">
    <mergeCell ref="A17:D17"/>
    <mergeCell ref="A18:D18"/>
    <mergeCell ref="A29:C29"/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35:C35"/>
    <mergeCell ref="A19:D19"/>
    <mergeCell ref="A20:D20"/>
    <mergeCell ref="A21:D21"/>
    <mergeCell ref="A22:D22"/>
    <mergeCell ref="A25:H25"/>
    <mergeCell ref="A26:C26"/>
    <mergeCell ref="A27:C27"/>
    <mergeCell ref="A28:C28"/>
    <mergeCell ref="A30:C30"/>
    <mergeCell ref="A33:H33"/>
    <mergeCell ref="A34:C34"/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74B862FE-304D-47BE-BA97-791F7DD3FCC6}">
          <x14:formula1>
            <xm:f>EQUI!$A$2:$A$38</xm:f>
          </x14:formula1>
          <xm:sqref>A27:C27</xm:sqref>
        </x14:dataValidation>
        <x14:dataValidation type="list" showInputMessage="1" showErrorMessage="1" xr:uid="{185656BF-78BB-471E-A437-70ADBBCAC325}">
          <x14:formula1>
            <xm:f>INS!$A$2:$A$89</xm:f>
          </x14:formula1>
          <xm:sqref>A15:D15</xm:sqref>
        </x14:dataValidation>
        <x14:dataValidation type="list" showInputMessage="1" showErrorMessage="1" xr:uid="{19FC7DB2-1B46-45D3-9CAF-BE8EAF7E8904}">
          <x14:formula1>
            <xm:f>TRANS!$A$2:$A$20</xm:f>
          </x14:formula1>
          <xm:sqref>A35:C35</xm:sqref>
        </x14:dataValidation>
        <x14:dataValidation type="list" showInputMessage="1" showErrorMessage="1" xr:uid="{8D812E8D-78E7-4E77-B683-D64AF3D79523}">
          <x14:formula1>
            <xm:f>LIST!$B$3:$B$85</xm:f>
          </x14:formula1>
          <xm:sqref>D10:H11</xm:sqref>
        </x14:dataValidation>
      </x14:dataValidation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35FAE-E1D3-4CCD-A047-0FE0D533F517}">
  <dimension ref="A1:H57"/>
  <sheetViews>
    <sheetView topLeftCell="A9" workbookViewId="0">
      <selection activeCell="G43" sqref="G4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481" t="s">
        <v>24</v>
      </c>
      <c r="B1" s="481"/>
      <c r="C1" s="481"/>
      <c r="D1" s="481"/>
      <c r="E1" s="481"/>
      <c r="F1" s="481"/>
      <c r="G1" s="481"/>
      <c r="H1" s="481"/>
    </row>
    <row r="2" spans="1:8" ht="15" thickTop="1">
      <c r="A2" s="20"/>
      <c r="B2" s="21"/>
      <c r="C2" s="21"/>
      <c r="D2" s="21"/>
      <c r="E2" s="21"/>
      <c r="F2" s="21"/>
      <c r="G2" s="21"/>
      <c r="H2" s="22"/>
    </row>
    <row r="3" spans="1:8">
      <c r="A3" s="482" t="s">
        <v>25</v>
      </c>
      <c r="B3" s="483"/>
      <c r="C3" s="483"/>
      <c r="D3" s="483"/>
      <c r="E3" s="483"/>
      <c r="F3" s="483"/>
      <c r="G3" s="483"/>
      <c r="H3" s="484"/>
    </row>
    <row r="4" spans="1:8">
      <c r="A4" s="482" t="s">
        <v>26</v>
      </c>
      <c r="B4" s="483"/>
      <c r="C4" s="483"/>
      <c r="D4" s="483"/>
      <c r="E4" s="483"/>
      <c r="F4" s="483"/>
      <c r="G4" s="483"/>
      <c r="H4" s="484"/>
    </row>
    <row r="5" spans="1:8" ht="28.5" customHeight="1">
      <c r="A5" s="20"/>
      <c r="B5" s="21"/>
      <c r="C5" s="21"/>
      <c r="D5" s="21"/>
      <c r="E5" s="21"/>
      <c r="F5" s="21"/>
      <c r="G5" s="21"/>
      <c r="H5" s="22"/>
    </row>
    <row r="6" spans="1:8">
      <c r="A6" s="485" t="s">
        <v>27</v>
      </c>
      <c r="B6" s="562" t="str">
        <f>+PTO!D3</f>
        <v>MEJORAMIENTO DE LAS IET GENERAL SANTANDER SEDE PRINCIPAL Y FRANCISCO JULIAN OLAYA SEDE PRINCIPAL DEL MUNICIPIO DE RIOBLANCO TOLIMA</v>
      </c>
      <c r="C6" s="562"/>
      <c r="D6" s="562"/>
      <c r="E6" s="562"/>
      <c r="F6" s="562"/>
      <c r="G6" s="562"/>
      <c r="H6" s="562"/>
    </row>
    <row r="7" spans="1:8" ht="22.5" customHeight="1">
      <c r="A7" s="486"/>
      <c r="B7" s="562"/>
      <c r="C7" s="562"/>
      <c r="D7" s="562"/>
      <c r="E7" s="562"/>
      <c r="F7" s="562"/>
      <c r="G7" s="562"/>
      <c r="H7" s="562"/>
    </row>
    <row r="8" spans="1:8">
      <c r="A8" s="20"/>
      <c r="B8" s="21"/>
      <c r="C8" s="21"/>
      <c r="D8" s="21"/>
      <c r="E8" s="21"/>
      <c r="F8" s="21"/>
      <c r="G8" s="21"/>
      <c r="H8" s="22"/>
    </row>
    <row r="9" spans="1:8">
      <c r="A9" s="459" t="s">
        <v>3</v>
      </c>
      <c r="B9" s="459"/>
      <c r="C9" s="459"/>
      <c r="D9" s="23" t="str">
        <f>+PTO!B19</f>
        <v>CIE-001</v>
      </c>
      <c r="E9" s="24" t="s">
        <v>28</v>
      </c>
      <c r="F9" s="23" t="s">
        <v>11</v>
      </c>
      <c r="G9" s="24" t="s">
        <v>22</v>
      </c>
      <c r="H9" s="25">
        <v>1</v>
      </c>
    </row>
    <row r="10" spans="1:8">
      <c r="A10" s="476" t="s">
        <v>4</v>
      </c>
      <c r="B10" s="476"/>
      <c r="C10" s="476"/>
      <c r="D10" s="477" t="str">
        <f>+PTO!D19</f>
        <v>TEJA EN LAMINA GALVANIZADA CAL.28</v>
      </c>
      <c r="E10" s="477"/>
      <c r="F10" s="477"/>
      <c r="G10" s="477"/>
      <c r="H10" s="477"/>
    </row>
    <row r="11" spans="1:8">
      <c r="A11" s="476"/>
      <c r="B11" s="476"/>
      <c r="C11" s="476"/>
      <c r="D11" s="477"/>
      <c r="E11" s="477"/>
      <c r="F11" s="477"/>
      <c r="G11" s="477"/>
      <c r="H11" s="477"/>
    </row>
    <row r="12" spans="1:8">
      <c r="A12" s="20"/>
      <c r="B12" s="21"/>
      <c r="C12" s="21"/>
      <c r="D12" s="21"/>
      <c r="E12" s="21"/>
      <c r="F12" s="21"/>
      <c r="G12" s="21"/>
      <c r="H12" s="22"/>
    </row>
    <row r="13" spans="1:8">
      <c r="A13" s="463" t="s">
        <v>29</v>
      </c>
      <c r="B13" s="463"/>
      <c r="C13" s="463"/>
      <c r="D13" s="463"/>
      <c r="E13" s="463"/>
      <c r="F13" s="463"/>
      <c r="G13" s="463"/>
      <c r="H13" s="463"/>
    </row>
    <row r="14" spans="1:8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</row>
    <row r="15" spans="1:8">
      <c r="A15" s="473" t="s">
        <v>61</v>
      </c>
      <c r="B15" s="474"/>
      <c r="C15" s="474"/>
      <c r="D15" s="475"/>
      <c r="E15" s="23" t="s">
        <v>62</v>
      </c>
      <c r="F15" s="72">
        <v>7</v>
      </c>
      <c r="G15" s="28">
        <f>+INS!F10</f>
        <v>47333</v>
      </c>
      <c r="H15" s="29">
        <f>F15*G15</f>
        <v>331331</v>
      </c>
    </row>
    <row r="16" spans="1:8">
      <c r="A16" s="473" t="s">
        <v>64</v>
      </c>
      <c r="B16" s="474"/>
      <c r="C16" s="474"/>
      <c r="D16" s="475"/>
      <c r="E16" s="23" t="s">
        <v>11</v>
      </c>
      <c r="F16" s="72">
        <v>0.77</v>
      </c>
      <c r="G16" s="28">
        <f>+INS!F62</f>
        <v>217900</v>
      </c>
      <c r="H16" s="29">
        <f t="shared" ref="H16:H22" si="0">F16*G16</f>
        <v>167783</v>
      </c>
    </row>
    <row r="17" spans="1:8">
      <c r="A17" s="473" t="s">
        <v>66</v>
      </c>
      <c r="B17" s="474"/>
      <c r="C17" s="474"/>
      <c r="D17" s="475"/>
      <c r="E17" s="23" t="s">
        <v>11</v>
      </c>
      <c r="F17" s="72">
        <v>0.65</v>
      </c>
      <c r="G17" s="28">
        <f>+INS!F5</f>
        <v>3900</v>
      </c>
      <c r="H17" s="29">
        <f t="shared" si="0"/>
        <v>2535</v>
      </c>
    </row>
    <row r="18" spans="1:8">
      <c r="A18" s="473" t="s">
        <v>68</v>
      </c>
      <c r="B18" s="474"/>
      <c r="C18" s="474"/>
      <c r="D18" s="475"/>
      <c r="E18" s="23" t="s">
        <v>69</v>
      </c>
      <c r="F18" s="72">
        <v>180</v>
      </c>
      <c r="G18" s="28">
        <v>30</v>
      </c>
      <c r="H18" s="29">
        <f t="shared" si="0"/>
        <v>5400</v>
      </c>
    </row>
    <row r="19" spans="1:8">
      <c r="A19" s="473" t="s">
        <v>91</v>
      </c>
      <c r="B19" s="474"/>
      <c r="C19" s="474"/>
      <c r="D19" s="475"/>
      <c r="E19" s="23" t="s">
        <v>105</v>
      </c>
      <c r="F19" s="72">
        <v>0.25</v>
      </c>
      <c r="G19" s="28">
        <f>+INS!F61</f>
        <v>170000</v>
      </c>
      <c r="H19" s="29">
        <f t="shared" si="0"/>
        <v>42500</v>
      </c>
    </row>
    <row r="20" spans="1:8">
      <c r="A20" s="473" t="s">
        <v>92</v>
      </c>
      <c r="B20" s="474"/>
      <c r="C20" s="474"/>
      <c r="D20" s="475"/>
      <c r="E20" s="23" t="s">
        <v>84</v>
      </c>
      <c r="F20" s="27">
        <v>3</v>
      </c>
      <c r="G20" s="28">
        <f>+INS!F41</f>
        <v>5500</v>
      </c>
      <c r="H20" s="29">
        <f t="shared" si="0"/>
        <v>16500</v>
      </c>
    </row>
    <row r="21" spans="1:8">
      <c r="A21" s="473" t="s">
        <v>89</v>
      </c>
      <c r="B21" s="474"/>
      <c r="C21" s="474"/>
      <c r="D21" s="475"/>
      <c r="E21" s="31" t="s">
        <v>90</v>
      </c>
      <c r="F21" s="32">
        <v>0.7</v>
      </c>
      <c r="G21" s="33">
        <f>+INS!F48</f>
        <v>13500</v>
      </c>
      <c r="H21" s="29">
        <f t="shared" si="0"/>
        <v>9450</v>
      </c>
    </row>
    <row r="22" spans="1:8">
      <c r="A22" s="473"/>
      <c r="B22" s="474"/>
      <c r="C22" s="474"/>
      <c r="D22" s="475"/>
      <c r="E22" s="31"/>
      <c r="F22" s="32"/>
      <c r="G22" s="33"/>
      <c r="H22" s="29">
        <f t="shared" si="0"/>
        <v>0</v>
      </c>
    </row>
    <row r="23" spans="1:8">
      <c r="A23" s="473" t="s">
        <v>33</v>
      </c>
      <c r="B23" s="474"/>
      <c r="C23" s="474"/>
      <c r="D23" s="475"/>
      <c r="E23" s="34" t="s">
        <v>34</v>
      </c>
      <c r="F23" s="35">
        <v>0.05</v>
      </c>
      <c r="G23" s="36">
        <f>H47</f>
        <v>336875</v>
      </c>
      <c r="H23" s="29">
        <f>F23*G23</f>
        <v>16843.75</v>
      </c>
    </row>
    <row r="24" spans="1:8">
      <c r="A24" s="20"/>
      <c r="B24" s="21"/>
      <c r="C24" s="21"/>
      <c r="D24" s="21"/>
      <c r="E24" s="21"/>
      <c r="F24" s="21"/>
      <c r="G24" s="37" t="s">
        <v>35</v>
      </c>
      <c r="H24" s="38">
        <f>SUM(H15:H23)</f>
        <v>592342.75</v>
      </c>
    </row>
    <row r="25" spans="1:8">
      <c r="A25" s="20"/>
      <c r="B25" s="21"/>
      <c r="C25" s="21"/>
      <c r="D25" s="21"/>
      <c r="E25" s="21"/>
      <c r="F25" s="21"/>
      <c r="G25" s="21"/>
      <c r="H25" s="22"/>
    </row>
    <row r="26" spans="1:8">
      <c r="A26" s="463" t="s">
        <v>36</v>
      </c>
      <c r="B26" s="463"/>
      <c r="C26" s="463"/>
      <c r="D26" s="463"/>
      <c r="E26" s="463"/>
      <c r="F26" s="463"/>
      <c r="G26" s="463"/>
      <c r="H26" s="463"/>
    </row>
    <row r="27" spans="1:8">
      <c r="A27" s="465" t="s">
        <v>4</v>
      </c>
      <c r="B27" s="466"/>
      <c r="C27" s="466"/>
      <c r="D27" s="24" t="s">
        <v>37</v>
      </c>
      <c r="E27" s="24" t="s">
        <v>5</v>
      </c>
      <c r="F27" s="24" t="s">
        <v>38</v>
      </c>
      <c r="G27" s="24" t="s">
        <v>39</v>
      </c>
      <c r="H27" s="26" t="s">
        <v>32</v>
      </c>
    </row>
    <row r="28" spans="1:8">
      <c r="A28" s="457" t="s">
        <v>70</v>
      </c>
      <c r="B28" s="458"/>
      <c r="C28" s="561"/>
      <c r="D28" s="69"/>
      <c r="E28" s="23"/>
      <c r="F28" s="65">
        <v>10000</v>
      </c>
      <c r="G28" s="27">
        <v>2.5</v>
      </c>
      <c r="H28" s="29">
        <f>F28*G28</f>
        <v>25000</v>
      </c>
    </row>
    <row r="29" spans="1:8">
      <c r="A29" s="457" t="s">
        <v>71</v>
      </c>
      <c r="B29" s="458"/>
      <c r="C29" s="458"/>
      <c r="D29" s="27"/>
      <c r="E29" s="23"/>
      <c r="F29" s="65">
        <v>7000</v>
      </c>
      <c r="G29" s="27">
        <v>2.5</v>
      </c>
      <c r="H29" s="29">
        <f>F29*G29</f>
        <v>17500</v>
      </c>
    </row>
    <row r="30" spans="1:8">
      <c r="A30" s="457"/>
      <c r="B30" s="458"/>
      <c r="C30" s="458"/>
      <c r="D30" s="40"/>
      <c r="E30" s="40"/>
      <c r="F30" s="40"/>
      <c r="G30" s="40"/>
      <c r="H30" s="41"/>
    </row>
    <row r="31" spans="1:8">
      <c r="A31" s="20"/>
      <c r="B31" s="21"/>
      <c r="C31" s="21"/>
      <c r="D31" s="21"/>
      <c r="E31" s="21"/>
      <c r="F31" s="21"/>
      <c r="G31" s="42" t="s">
        <v>35</v>
      </c>
      <c r="H31" s="38">
        <f>SUM(H28:H30)</f>
        <v>42500</v>
      </c>
    </row>
    <row r="32" spans="1:8">
      <c r="A32" s="20"/>
      <c r="B32" s="21"/>
      <c r="C32" s="21"/>
      <c r="D32" s="21"/>
      <c r="E32" s="21"/>
      <c r="F32" s="21"/>
      <c r="G32" s="43"/>
      <c r="H32" s="44"/>
    </row>
    <row r="33" spans="1:8">
      <c r="A33" s="468" t="s">
        <v>40</v>
      </c>
      <c r="B33" s="469"/>
      <c r="C33" s="469"/>
      <c r="D33" s="469"/>
      <c r="E33" s="469"/>
      <c r="F33" s="469"/>
      <c r="G33" s="469"/>
      <c r="H33" s="470"/>
    </row>
    <row r="34" spans="1:8">
      <c r="A34" s="465" t="s">
        <v>41</v>
      </c>
      <c r="B34" s="466"/>
      <c r="C34" s="466"/>
      <c r="D34" s="24" t="s">
        <v>42</v>
      </c>
      <c r="E34" s="24" t="s">
        <v>43</v>
      </c>
      <c r="F34" s="24" t="s">
        <v>44</v>
      </c>
      <c r="G34" s="24" t="s">
        <v>45</v>
      </c>
      <c r="H34" s="26" t="s">
        <v>32</v>
      </c>
    </row>
    <row r="35" spans="1:8">
      <c r="A35" s="472" t="s">
        <v>64</v>
      </c>
      <c r="B35" s="472"/>
      <c r="C35" s="472"/>
      <c r="D35" s="69">
        <f>F16</f>
        <v>0.77</v>
      </c>
      <c r="E35" s="67">
        <v>130</v>
      </c>
      <c r="F35" s="23"/>
      <c r="G35" s="47">
        <v>1400</v>
      </c>
      <c r="H35" s="29">
        <f>D35*E35*G35</f>
        <v>140140</v>
      </c>
    </row>
    <row r="36" spans="1:8">
      <c r="A36" s="472" t="s">
        <v>66</v>
      </c>
      <c r="B36" s="472"/>
      <c r="C36" s="472"/>
      <c r="D36" s="69">
        <f>F17</f>
        <v>0.65</v>
      </c>
      <c r="E36" s="23">
        <v>130</v>
      </c>
      <c r="F36" s="72"/>
      <c r="G36" s="28">
        <v>1400</v>
      </c>
      <c r="H36" s="29">
        <f>D36*E36*G36</f>
        <v>118300</v>
      </c>
    </row>
    <row r="37" spans="1:8">
      <c r="A37" s="457"/>
      <c r="B37" s="458"/>
      <c r="C37" s="458"/>
      <c r="D37" s="27"/>
      <c r="E37" s="67"/>
      <c r="F37" s="23"/>
      <c r="G37" s="66"/>
      <c r="H37" s="29"/>
    </row>
    <row r="38" spans="1:8">
      <c r="A38" s="457"/>
      <c r="B38" s="458"/>
      <c r="C38" s="458"/>
      <c r="D38" s="27"/>
      <c r="E38" s="67"/>
      <c r="F38" s="40"/>
      <c r="G38" s="66"/>
      <c r="H38" s="29"/>
    </row>
    <row r="39" spans="1:8">
      <c r="A39" s="20"/>
      <c r="B39" s="21"/>
      <c r="C39" s="21"/>
      <c r="D39" s="21"/>
      <c r="E39" s="21"/>
      <c r="F39" s="21"/>
      <c r="G39" s="50" t="s">
        <v>35</v>
      </c>
      <c r="H39" s="38">
        <f>SUM(H35:H38)</f>
        <v>258440</v>
      </c>
    </row>
    <row r="40" spans="1:8">
      <c r="A40" s="20"/>
      <c r="B40" s="21"/>
      <c r="C40" s="21"/>
      <c r="D40" s="21"/>
      <c r="E40" s="21"/>
      <c r="F40" s="21"/>
      <c r="G40" s="43"/>
      <c r="H40" s="44"/>
    </row>
    <row r="41" spans="1:8">
      <c r="A41" s="463" t="s">
        <v>46</v>
      </c>
      <c r="B41" s="463"/>
      <c r="C41" s="463"/>
      <c r="D41" s="463"/>
      <c r="E41" s="463"/>
      <c r="F41" s="463"/>
      <c r="G41" s="464"/>
      <c r="H41" s="464"/>
    </row>
    <row r="42" spans="1:8" ht="27.6">
      <c r="A42" s="455" t="s">
        <v>4</v>
      </c>
      <c r="B42" s="456"/>
      <c r="C42" s="456"/>
      <c r="D42" s="51" t="s">
        <v>47</v>
      </c>
      <c r="E42" s="26" t="s">
        <v>48</v>
      </c>
      <c r="F42" s="26" t="s">
        <v>49</v>
      </c>
      <c r="G42" s="26" t="s">
        <v>50</v>
      </c>
      <c r="H42" s="26" t="s">
        <v>32</v>
      </c>
    </row>
    <row r="43" spans="1:8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v>3</v>
      </c>
      <c r="H43" s="53">
        <f>F43*G43</f>
        <v>74375</v>
      </c>
    </row>
    <row r="44" spans="1:8">
      <c r="A44" s="457" t="s">
        <v>52</v>
      </c>
      <c r="B44" s="458"/>
      <c r="C44" s="458"/>
      <c r="D44" s="52">
        <f>MO!F14/8</f>
        <v>14583.333333333334</v>
      </c>
      <c r="E44" s="23">
        <v>6</v>
      </c>
      <c r="F44" s="28">
        <f>D44*E44</f>
        <v>87500</v>
      </c>
      <c r="G44" s="27">
        <v>3</v>
      </c>
      <c r="H44" s="53">
        <f>F44*G44</f>
        <v>262500</v>
      </c>
    </row>
    <row r="45" spans="1:8">
      <c r="A45" s="457"/>
      <c r="B45" s="458"/>
      <c r="C45" s="458"/>
      <c r="D45" s="40"/>
      <c r="E45" s="40"/>
      <c r="F45" s="54"/>
      <c r="G45" s="40"/>
      <c r="H45" s="53"/>
    </row>
    <row r="46" spans="1:8">
      <c r="A46" s="457"/>
      <c r="B46" s="458"/>
      <c r="C46" s="458"/>
      <c r="D46" s="40"/>
      <c r="E46" s="40"/>
      <c r="F46" s="54"/>
      <c r="G46" s="40"/>
      <c r="H46" s="53"/>
    </row>
    <row r="47" spans="1:8">
      <c r="A47" s="20"/>
      <c r="B47" s="21"/>
      <c r="C47" s="21"/>
      <c r="D47" s="21"/>
      <c r="E47" s="21"/>
      <c r="F47" s="21"/>
      <c r="G47" s="42" t="s">
        <v>35</v>
      </c>
      <c r="H47" s="38">
        <f>SUM(H43:H46)</f>
        <v>336875</v>
      </c>
    </row>
    <row r="48" spans="1:8">
      <c r="A48" s="20"/>
      <c r="B48" s="21"/>
      <c r="C48" s="21"/>
      <c r="D48" s="21"/>
      <c r="E48" s="21"/>
      <c r="F48" s="21"/>
      <c r="G48" s="21"/>
      <c r="H48" s="22"/>
    </row>
    <row r="49" spans="1:8">
      <c r="A49" s="459" t="s">
        <v>53</v>
      </c>
      <c r="B49" s="459"/>
      <c r="C49" s="459"/>
      <c r="D49" s="459"/>
      <c r="E49" s="459"/>
      <c r="F49" s="459"/>
      <c r="G49" s="459"/>
      <c r="H49" s="29">
        <f>ROUND(H24+H31+H39+H47,0)</f>
        <v>1230158</v>
      </c>
    </row>
    <row r="50" spans="1:8">
      <c r="A50" s="55"/>
      <c r="B50" s="56"/>
      <c r="C50" s="56"/>
      <c r="D50" s="56"/>
      <c r="E50" s="56"/>
      <c r="F50" s="56"/>
      <c r="G50" s="56"/>
      <c r="H50" s="57"/>
    </row>
    <row r="51" spans="1:8">
      <c r="A51" s="55"/>
      <c r="B51" s="56"/>
      <c r="C51" s="56"/>
      <c r="D51" s="56"/>
      <c r="E51" s="56"/>
      <c r="F51" s="56"/>
      <c r="G51" s="56"/>
      <c r="H51" s="57"/>
    </row>
    <row r="52" spans="1:8">
      <c r="A52" s="55"/>
      <c r="B52" s="56"/>
      <c r="C52" s="56"/>
      <c r="D52" s="56"/>
      <c r="E52" s="56"/>
      <c r="F52" s="56"/>
      <c r="G52" s="56"/>
      <c r="H52" s="57"/>
    </row>
    <row r="53" spans="1:8">
      <c r="A53" s="55"/>
      <c r="B53" s="56"/>
      <c r="C53" s="56"/>
      <c r="D53" s="56"/>
      <c r="E53" s="56"/>
      <c r="F53" s="56"/>
      <c r="G53" s="56"/>
      <c r="H53" s="57"/>
    </row>
    <row r="54" spans="1:8">
      <c r="A54" s="58"/>
      <c r="B54" s="59"/>
      <c r="C54" s="59"/>
      <c r="D54" s="59"/>
      <c r="E54" s="59"/>
      <c r="F54" s="59"/>
      <c r="G54" s="59"/>
      <c r="H54" s="60"/>
    </row>
    <row r="55" spans="1:8">
      <c r="A55" s="460" t="s">
        <v>292</v>
      </c>
      <c r="B55" s="461"/>
      <c r="C55" s="461"/>
      <c r="D55" s="461"/>
      <c r="E55" s="59"/>
      <c r="F55" s="461" t="s">
        <v>76</v>
      </c>
      <c r="G55" s="461"/>
      <c r="H55" s="462"/>
    </row>
    <row r="56" spans="1:8" ht="15" customHeight="1">
      <c r="A56" s="451" t="s">
        <v>291</v>
      </c>
      <c r="B56" s="452"/>
      <c r="C56" s="452"/>
      <c r="D56" s="452"/>
      <c r="E56" s="59"/>
      <c r="F56" s="453" t="s">
        <v>54</v>
      </c>
      <c r="G56" s="453"/>
      <c r="H56" s="454"/>
    </row>
    <row r="57" spans="1:8">
      <c r="A57" s="61"/>
      <c r="B57" s="62"/>
      <c r="C57" s="62"/>
      <c r="D57" s="62"/>
      <c r="E57" s="62"/>
      <c r="F57" s="62"/>
      <c r="G57" s="62"/>
      <c r="H57" s="63"/>
    </row>
  </sheetData>
  <mergeCells count="41">
    <mergeCell ref="A9:C9"/>
    <mergeCell ref="A19:D19"/>
    <mergeCell ref="A1:H1"/>
    <mergeCell ref="A3:H3"/>
    <mergeCell ref="A4:H4"/>
    <mergeCell ref="A6:A7"/>
    <mergeCell ref="B6:H7"/>
    <mergeCell ref="A23:D23"/>
    <mergeCell ref="A10:C11"/>
    <mergeCell ref="D10:H11"/>
    <mergeCell ref="A13:H13"/>
    <mergeCell ref="A14:D14"/>
    <mergeCell ref="A15:D15"/>
    <mergeCell ref="A16:D16"/>
    <mergeCell ref="A17:D17"/>
    <mergeCell ref="A18:D18"/>
    <mergeCell ref="A20:D20"/>
    <mergeCell ref="A21:D21"/>
    <mergeCell ref="A22:D22"/>
    <mergeCell ref="A41:H41"/>
    <mergeCell ref="A26:H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38:C38"/>
    <mergeCell ref="A55:D55"/>
    <mergeCell ref="F55:H55"/>
    <mergeCell ref="A56:D56"/>
    <mergeCell ref="F56:H56"/>
    <mergeCell ref="A42:C42"/>
    <mergeCell ref="A43:C43"/>
    <mergeCell ref="A44:C44"/>
    <mergeCell ref="A45:C45"/>
    <mergeCell ref="A46:C46"/>
    <mergeCell ref="A49:G49"/>
  </mergeCells>
  <pageMargins left="0.7" right="0.7" top="0.75" bottom="0.75" header="0.3" footer="0.3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30FE1-1BAD-4014-9DC7-F9EBF478960D}">
  <dimension ref="A1:M58"/>
  <sheetViews>
    <sheetView topLeftCell="A5" workbookViewId="0">
      <selection activeCell="G43" sqref="G43"/>
    </sheetView>
  </sheetViews>
  <sheetFormatPr baseColWidth="10" defaultRowHeight="14.4"/>
  <cols>
    <col min="1" max="2" width="10.88671875" customWidth="1"/>
    <col min="3" max="3" width="20.6640625" customWidth="1"/>
    <col min="4" max="4" width="14" customWidth="1"/>
    <col min="5" max="5" width="14.44140625" customWidth="1"/>
    <col min="6" max="6" width="13.109375" customWidth="1"/>
    <col min="7" max="7" width="15" customWidth="1"/>
    <col min="8" max="8" width="17.5546875" customWidth="1"/>
    <col min="9" max="9" width="12"/>
    <col min="10" max="10" width="14.109375" bestFit="1" customWidth="1"/>
    <col min="11" max="13" width="12"/>
  </cols>
  <sheetData>
    <row r="1" spans="1:13" ht="15" thickBot="1">
      <c r="A1" s="481" t="s">
        <v>24</v>
      </c>
      <c r="B1" s="481"/>
      <c r="C1" s="481"/>
      <c r="D1" s="481"/>
      <c r="E1" s="481"/>
      <c r="F1" s="481"/>
      <c r="G1" s="481"/>
      <c r="H1" s="481"/>
      <c r="I1" s="70"/>
      <c r="J1" s="70"/>
      <c r="K1" s="70"/>
      <c r="L1" s="70"/>
      <c r="M1" s="70"/>
    </row>
    <row r="2" spans="1:13" ht="15" thickTop="1">
      <c r="A2" s="20"/>
      <c r="B2" s="21"/>
      <c r="C2" s="21"/>
      <c r="D2" s="21"/>
      <c r="E2" s="21"/>
      <c r="F2" s="21"/>
      <c r="G2" s="21"/>
      <c r="H2" s="22"/>
      <c r="I2" s="70"/>
      <c r="J2" s="70"/>
      <c r="K2" s="70"/>
      <c r="L2" s="70"/>
      <c r="M2" s="70"/>
    </row>
    <row r="3" spans="1:13">
      <c r="A3" s="482" t="s">
        <v>25</v>
      </c>
      <c r="B3" s="483"/>
      <c r="C3" s="483"/>
      <c r="D3" s="483"/>
      <c r="E3" s="483"/>
      <c r="F3" s="483"/>
      <c r="G3" s="483"/>
      <c r="H3" s="484"/>
      <c r="I3" s="70"/>
      <c r="J3" s="70"/>
      <c r="K3" s="70"/>
      <c r="L3" s="70"/>
      <c r="M3" s="70"/>
    </row>
    <row r="4" spans="1:13">
      <c r="A4" s="482" t="s">
        <v>26</v>
      </c>
      <c r="B4" s="483"/>
      <c r="C4" s="483"/>
      <c r="D4" s="483"/>
      <c r="E4" s="483"/>
      <c r="F4" s="483"/>
      <c r="G4" s="483"/>
      <c r="H4" s="484"/>
      <c r="I4" s="70"/>
      <c r="J4" s="70"/>
      <c r="K4" s="70"/>
      <c r="L4" s="70"/>
      <c r="M4" s="70"/>
    </row>
    <row r="5" spans="1:13" ht="25.5" customHeight="1">
      <c r="A5" s="20"/>
      <c r="B5" s="21"/>
      <c r="C5" s="21"/>
      <c r="D5" s="21"/>
      <c r="E5" s="21"/>
      <c r="F5" s="21"/>
      <c r="G5" s="21"/>
      <c r="H5" s="22"/>
      <c r="I5" s="70"/>
      <c r="J5" s="70"/>
      <c r="K5" s="70"/>
      <c r="L5" s="70"/>
      <c r="M5" s="70"/>
    </row>
    <row r="6" spans="1:13">
      <c r="A6" s="485" t="s">
        <v>55</v>
      </c>
      <c r="B6" s="562" t="str">
        <f>+PTO!D3</f>
        <v>MEJORAMIENTO DE LAS IET GENERAL SANTANDER SEDE PRINCIPAL Y FRANCISCO JULIAN OLAYA SEDE PRINCIPAL DEL MUNICIPIO DE RIOBLANCO TOLIMA</v>
      </c>
      <c r="C6" s="562"/>
      <c r="D6" s="562"/>
      <c r="E6" s="562"/>
      <c r="F6" s="562"/>
      <c r="G6" s="562"/>
      <c r="H6" s="562"/>
      <c r="I6" s="70"/>
      <c r="J6" s="70"/>
      <c r="K6" s="70"/>
      <c r="L6" s="70"/>
      <c r="M6" s="70"/>
    </row>
    <row r="7" spans="1:13" ht="31.5" customHeight="1">
      <c r="A7" s="486"/>
      <c r="B7" s="562"/>
      <c r="C7" s="562"/>
      <c r="D7" s="562"/>
      <c r="E7" s="562"/>
      <c r="F7" s="562"/>
      <c r="G7" s="562"/>
      <c r="H7" s="562"/>
      <c r="I7" s="70"/>
      <c r="J7" s="70"/>
      <c r="K7" s="70"/>
      <c r="L7" s="70"/>
      <c r="M7" s="70"/>
    </row>
    <row r="8" spans="1:13">
      <c r="A8" s="20"/>
      <c r="B8" s="21"/>
      <c r="C8" s="21"/>
      <c r="D8" s="21"/>
      <c r="E8" s="21"/>
      <c r="F8" s="21"/>
      <c r="G8" s="21"/>
      <c r="H8" s="22"/>
      <c r="I8" s="70"/>
      <c r="J8" s="70"/>
      <c r="K8" s="70"/>
      <c r="L8" s="70"/>
      <c r="M8" s="70"/>
    </row>
    <row r="9" spans="1:13">
      <c r="A9" s="459" t="s">
        <v>3</v>
      </c>
      <c r="B9" s="459"/>
      <c r="C9" s="459"/>
      <c r="D9" s="23" t="str">
        <f>+PTO!B24</f>
        <v>ELC-004</v>
      </c>
      <c r="E9" s="24" t="s">
        <v>28</v>
      </c>
      <c r="F9" s="23" t="str">
        <f>+PTO!E24</f>
        <v>UND</v>
      </c>
      <c r="G9" s="24" t="s">
        <v>22</v>
      </c>
      <c r="H9" s="25">
        <v>1</v>
      </c>
      <c r="I9" s="70"/>
      <c r="J9" s="70"/>
      <c r="K9" s="70"/>
      <c r="L9" s="70"/>
      <c r="M9" s="70"/>
    </row>
    <row r="10" spans="1:13">
      <c r="A10" s="476" t="s">
        <v>4</v>
      </c>
      <c r="B10" s="476"/>
      <c r="C10" s="476"/>
      <c r="D10" s="563" t="str">
        <f>+PTO!D24</f>
        <v>PUNTO ELECTRICO DE CONEXIÓN DOBLE</v>
      </c>
      <c r="E10" s="563"/>
      <c r="F10" s="563"/>
      <c r="G10" s="563"/>
      <c r="H10" s="563"/>
      <c r="I10" s="70"/>
      <c r="J10" s="70"/>
      <c r="K10" s="70"/>
      <c r="L10" s="70"/>
      <c r="M10" s="70"/>
    </row>
    <row r="11" spans="1:13">
      <c r="A11" s="476"/>
      <c r="B11" s="476"/>
      <c r="C11" s="476"/>
      <c r="D11" s="563"/>
      <c r="E11" s="563"/>
      <c r="F11" s="563"/>
      <c r="G11" s="563"/>
      <c r="H11" s="563"/>
      <c r="I11" s="70"/>
      <c r="J11" s="70"/>
      <c r="K11" s="70"/>
      <c r="L11" s="70"/>
      <c r="M11" s="70"/>
    </row>
    <row r="12" spans="1:13">
      <c r="A12" s="20"/>
      <c r="B12" s="21"/>
      <c r="C12" s="21"/>
      <c r="D12" s="21"/>
      <c r="E12" s="21"/>
      <c r="F12" s="21"/>
      <c r="G12" s="21"/>
      <c r="H12" s="22"/>
      <c r="I12" s="70"/>
      <c r="J12" s="70"/>
      <c r="K12" s="70"/>
      <c r="L12" s="70"/>
      <c r="M12" s="70"/>
    </row>
    <row r="13" spans="1:13">
      <c r="A13" s="463" t="s">
        <v>29</v>
      </c>
      <c r="B13" s="463"/>
      <c r="C13" s="463"/>
      <c r="D13" s="463"/>
      <c r="E13" s="463"/>
      <c r="F13" s="463"/>
      <c r="G13" s="463"/>
      <c r="H13" s="463"/>
      <c r="I13" s="70"/>
      <c r="J13" s="70"/>
      <c r="K13" s="70"/>
      <c r="L13" s="70"/>
      <c r="M13" s="70"/>
    </row>
    <row r="14" spans="1:13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  <c r="I14" s="70"/>
      <c r="J14" s="70"/>
      <c r="K14" s="70"/>
      <c r="L14" s="70"/>
      <c r="M14" s="70"/>
    </row>
    <row r="15" spans="1:13">
      <c r="A15" s="473" t="s">
        <v>61</v>
      </c>
      <c r="B15" s="474"/>
      <c r="C15" s="474"/>
      <c r="D15" s="475"/>
      <c r="E15" s="23" t="s">
        <v>62</v>
      </c>
      <c r="F15" s="72">
        <v>7</v>
      </c>
      <c r="G15" s="28">
        <f>+INS!F10</f>
        <v>47333</v>
      </c>
      <c r="H15" s="29">
        <f>F15*G15</f>
        <v>331331</v>
      </c>
      <c r="I15" s="70"/>
      <c r="J15" s="70"/>
      <c r="K15" s="70"/>
      <c r="L15" s="70"/>
      <c r="M15" s="70"/>
    </row>
    <row r="16" spans="1:13">
      <c r="A16" s="473" t="s">
        <v>64</v>
      </c>
      <c r="B16" s="474"/>
      <c r="C16" s="474"/>
      <c r="D16" s="475"/>
      <c r="E16" s="23" t="s">
        <v>11</v>
      </c>
      <c r="F16" s="73">
        <v>0.89</v>
      </c>
      <c r="G16" s="28">
        <f>+INS!F62</f>
        <v>217900</v>
      </c>
      <c r="H16" s="29">
        <f>F16*G16</f>
        <v>193931</v>
      </c>
      <c r="I16" s="70"/>
      <c r="J16" s="70"/>
      <c r="K16" s="70"/>
      <c r="L16" s="70"/>
      <c r="M16" s="70"/>
    </row>
    <row r="17" spans="1:13">
      <c r="A17" s="473" t="s">
        <v>66</v>
      </c>
      <c r="B17" s="474"/>
      <c r="C17" s="474"/>
      <c r="D17" s="475"/>
      <c r="E17" s="23" t="s">
        <v>11</v>
      </c>
      <c r="F17" s="73">
        <v>0.56000000000000005</v>
      </c>
      <c r="G17" s="28">
        <f>+INS!F5</f>
        <v>3900</v>
      </c>
      <c r="H17" s="29">
        <f>F17*G17</f>
        <v>2184</v>
      </c>
      <c r="I17" s="70"/>
      <c r="J17" s="70"/>
      <c r="K17" s="70"/>
      <c r="L17" s="70"/>
      <c r="M17" s="70"/>
    </row>
    <row r="18" spans="1:13">
      <c r="A18" s="473" t="s">
        <v>68</v>
      </c>
      <c r="B18" s="474"/>
      <c r="C18" s="474"/>
      <c r="D18" s="475"/>
      <c r="E18" s="23" t="s">
        <v>69</v>
      </c>
      <c r="F18" s="72">
        <v>180</v>
      </c>
      <c r="G18" s="28">
        <v>30</v>
      </c>
      <c r="H18" s="29">
        <f>F18*G18</f>
        <v>5400</v>
      </c>
      <c r="I18" s="70"/>
      <c r="J18" s="70"/>
      <c r="K18" s="70"/>
      <c r="L18" s="70"/>
      <c r="M18" s="70"/>
    </row>
    <row r="19" spans="1:13">
      <c r="A19" s="473" t="s">
        <v>91</v>
      </c>
      <c r="B19" s="474"/>
      <c r="C19" s="474"/>
      <c r="D19" s="475"/>
      <c r="E19" s="23" t="s">
        <v>105</v>
      </c>
      <c r="F19" s="72">
        <v>0.25</v>
      </c>
      <c r="G19" s="28">
        <f>+INS!F61</f>
        <v>170000</v>
      </c>
      <c r="H19" s="29">
        <f t="shared" ref="H19:H23" si="0">F19*G19</f>
        <v>42500</v>
      </c>
      <c r="I19" s="70"/>
      <c r="J19" s="70"/>
      <c r="K19" s="70"/>
      <c r="L19" s="70"/>
      <c r="M19" s="70"/>
    </row>
    <row r="20" spans="1:13">
      <c r="A20" s="473" t="s">
        <v>127</v>
      </c>
      <c r="B20" s="474"/>
      <c r="C20" s="474"/>
      <c r="D20" s="475"/>
      <c r="E20" s="23" t="s">
        <v>84</v>
      </c>
      <c r="F20" s="27">
        <v>3</v>
      </c>
      <c r="G20" s="28">
        <f>+INS!F45</f>
        <v>7500000</v>
      </c>
      <c r="H20" s="29">
        <f t="shared" si="0"/>
        <v>22500000</v>
      </c>
      <c r="I20" s="70"/>
      <c r="J20" s="70"/>
      <c r="K20" s="70"/>
      <c r="L20" s="70"/>
      <c r="M20" s="70"/>
    </row>
    <row r="21" spans="1:13">
      <c r="A21" s="473" t="s">
        <v>89</v>
      </c>
      <c r="B21" s="474"/>
      <c r="C21" s="474"/>
      <c r="D21" s="475"/>
      <c r="E21" s="31" t="s">
        <v>90</v>
      </c>
      <c r="F21" s="32">
        <v>0.75</v>
      </c>
      <c r="G21" s="33">
        <f>+INS!F48</f>
        <v>13500</v>
      </c>
      <c r="H21" s="29">
        <f t="shared" si="0"/>
        <v>10125</v>
      </c>
      <c r="I21" s="70"/>
      <c r="J21" s="70"/>
      <c r="K21" s="70"/>
      <c r="L21" s="70"/>
      <c r="M21" s="70"/>
    </row>
    <row r="22" spans="1:13">
      <c r="A22" s="473" t="s">
        <v>93</v>
      </c>
      <c r="B22" s="474"/>
      <c r="C22" s="474"/>
      <c r="D22" s="475"/>
      <c r="E22" s="23" t="s">
        <v>9</v>
      </c>
      <c r="F22" s="27">
        <v>11</v>
      </c>
      <c r="G22" s="28">
        <v>6570</v>
      </c>
      <c r="H22" s="29">
        <f t="shared" si="0"/>
        <v>72270</v>
      </c>
      <c r="I22" s="70"/>
      <c r="J22" s="70"/>
      <c r="K22" s="70"/>
      <c r="L22" s="70"/>
      <c r="M22" s="70"/>
    </row>
    <row r="23" spans="1:13">
      <c r="A23" s="473" t="s">
        <v>94</v>
      </c>
      <c r="B23" s="474"/>
      <c r="C23" s="474"/>
      <c r="D23" s="475"/>
      <c r="E23" s="31" t="s">
        <v>95</v>
      </c>
      <c r="F23" s="32">
        <v>0.2</v>
      </c>
      <c r="G23" s="33">
        <f>+INS!F4</f>
        <v>1050</v>
      </c>
      <c r="H23" s="29">
        <f t="shared" si="0"/>
        <v>210</v>
      </c>
      <c r="I23" s="70"/>
      <c r="J23" s="70"/>
      <c r="K23" s="70"/>
      <c r="L23" s="70"/>
      <c r="M23" s="70"/>
    </row>
    <row r="24" spans="1:13">
      <c r="A24" s="473"/>
      <c r="B24" s="474"/>
      <c r="C24" s="474"/>
      <c r="D24" s="475"/>
      <c r="E24" s="23"/>
      <c r="F24" s="64"/>
      <c r="G24" s="28"/>
      <c r="H24" s="29"/>
      <c r="I24" s="70"/>
      <c r="J24" s="70"/>
      <c r="K24" s="70"/>
      <c r="L24" s="70"/>
      <c r="M24" s="70"/>
    </row>
    <row r="25" spans="1:13">
      <c r="A25" s="20"/>
      <c r="B25" s="21"/>
      <c r="C25" s="21"/>
      <c r="D25" s="21"/>
      <c r="E25" s="21"/>
      <c r="F25" s="21"/>
      <c r="G25" s="42" t="s">
        <v>35</v>
      </c>
      <c r="H25" s="38">
        <f>SUM(H15:H24)</f>
        <v>23157951</v>
      </c>
      <c r="I25" s="70"/>
      <c r="J25" s="70"/>
      <c r="K25" s="70"/>
      <c r="L25" s="70"/>
      <c r="M25" s="70"/>
    </row>
    <row r="26" spans="1:13">
      <c r="A26" s="20"/>
      <c r="B26" s="21"/>
      <c r="C26" s="21"/>
      <c r="D26" s="21"/>
      <c r="E26" s="21"/>
      <c r="F26" s="21"/>
      <c r="G26" s="21"/>
      <c r="H26" s="22"/>
      <c r="I26" s="70"/>
      <c r="J26" s="70"/>
      <c r="K26" s="70"/>
      <c r="L26" s="70"/>
      <c r="M26" s="70"/>
    </row>
    <row r="27" spans="1:13">
      <c r="A27" s="463" t="s">
        <v>36</v>
      </c>
      <c r="B27" s="463"/>
      <c r="C27" s="463"/>
      <c r="D27" s="463"/>
      <c r="E27" s="463"/>
      <c r="F27" s="463"/>
      <c r="G27" s="463"/>
      <c r="H27" s="463"/>
      <c r="I27" s="70"/>
      <c r="J27" s="70"/>
      <c r="K27" s="70"/>
      <c r="L27" s="70"/>
      <c r="M27" s="70"/>
    </row>
    <row r="28" spans="1:13">
      <c r="A28" s="465" t="s">
        <v>4</v>
      </c>
      <c r="B28" s="466"/>
      <c r="C28" s="466"/>
      <c r="D28" s="24" t="s">
        <v>37</v>
      </c>
      <c r="E28" s="24" t="s">
        <v>5</v>
      </c>
      <c r="F28" s="24" t="s">
        <v>56</v>
      </c>
      <c r="G28" s="24" t="s">
        <v>39</v>
      </c>
      <c r="H28" s="26" t="s">
        <v>32</v>
      </c>
      <c r="I28" s="70"/>
      <c r="J28" s="70"/>
      <c r="K28" s="70"/>
      <c r="L28" s="70"/>
      <c r="M28" s="70"/>
    </row>
    <row r="29" spans="1:13">
      <c r="A29" s="457" t="s">
        <v>70</v>
      </c>
      <c r="B29" s="458"/>
      <c r="C29" s="561"/>
      <c r="D29" s="69"/>
      <c r="E29" s="23"/>
      <c r="F29" s="65">
        <v>10000</v>
      </c>
      <c r="G29" s="27">
        <f>G44</f>
        <v>2.9</v>
      </c>
      <c r="H29" s="29">
        <f>F29*G29</f>
        <v>29000</v>
      </c>
      <c r="I29" s="70"/>
      <c r="J29" s="70"/>
      <c r="K29" s="70"/>
      <c r="L29" s="70"/>
      <c r="M29" s="70"/>
    </row>
    <row r="30" spans="1:13">
      <c r="A30" s="457" t="s">
        <v>71</v>
      </c>
      <c r="B30" s="458"/>
      <c r="C30" s="458"/>
      <c r="D30" s="27"/>
      <c r="E30" s="23"/>
      <c r="F30" s="65">
        <v>7000</v>
      </c>
      <c r="G30" s="27">
        <f>G45</f>
        <v>2.9</v>
      </c>
      <c r="H30" s="29">
        <f>F30*G30</f>
        <v>20300</v>
      </c>
      <c r="I30" s="70"/>
      <c r="J30" s="70"/>
      <c r="K30" s="70"/>
      <c r="L30" s="70"/>
      <c r="M30" s="70"/>
    </row>
    <row r="31" spans="1:13">
      <c r="A31" s="457"/>
      <c r="B31" s="458"/>
      <c r="C31" s="458"/>
      <c r="D31" s="27"/>
      <c r="E31" s="23"/>
      <c r="F31" s="23"/>
      <c r="G31" s="66"/>
      <c r="H31" s="29"/>
      <c r="I31" s="70"/>
      <c r="J31" s="70"/>
      <c r="K31" s="70"/>
      <c r="L31" s="70"/>
      <c r="M31" s="70"/>
    </row>
    <row r="32" spans="1:13">
      <c r="A32" s="473" t="s">
        <v>33</v>
      </c>
      <c r="B32" s="474"/>
      <c r="C32" s="474"/>
      <c r="D32" s="475"/>
      <c r="E32" s="23" t="s">
        <v>57</v>
      </c>
      <c r="F32" s="64">
        <v>0.05</v>
      </c>
      <c r="G32" s="28">
        <f>+H48</f>
        <v>325645.83333333331</v>
      </c>
      <c r="H32" s="29">
        <f>F32*G32</f>
        <v>16282.291666666666</v>
      </c>
      <c r="I32" s="70"/>
      <c r="J32" s="70"/>
      <c r="K32" s="70"/>
      <c r="L32" s="70"/>
      <c r="M32" s="70"/>
    </row>
    <row r="33" spans="1:13">
      <c r="A33" s="20"/>
      <c r="B33" s="21"/>
      <c r="C33" s="21"/>
      <c r="D33" s="21"/>
      <c r="E33" s="21"/>
      <c r="F33" s="21"/>
      <c r="G33" s="42" t="s">
        <v>35</v>
      </c>
      <c r="H33" s="38">
        <f>SUM(H29:H32)</f>
        <v>65582.291666666672</v>
      </c>
      <c r="I33" s="70"/>
      <c r="J33" s="70"/>
      <c r="K33" s="70"/>
      <c r="L33" s="70"/>
      <c r="M33" s="70"/>
    </row>
    <row r="34" spans="1:13">
      <c r="A34" s="20"/>
      <c r="B34" s="21"/>
      <c r="C34" s="21"/>
      <c r="D34" s="21"/>
      <c r="E34" s="21"/>
      <c r="F34" s="21"/>
      <c r="G34" s="43"/>
      <c r="H34" s="44"/>
      <c r="I34" s="70"/>
      <c r="J34" s="70"/>
      <c r="K34" s="70"/>
      <c r="L34" s="70"/>
      <c r="M34" s="70"/>
    </row>
    <row r="35" spans="1:13">
      <c r="A35" s="468" t="s">
        <v>40</v>
      </c>
      <c r="B35" s="469"/>
      <c r="C35" s="469"/>
      <c r="D35" s="469"/>
      <c r="E35" s="469"/>
      <c r="F35" s="469"/>
      <c r="G35" s="469"/>
      <c r="H35" s="470"/>
      <c r="I35" s="70"/>
      <c r="J35" s="70"/>
      <c r="K35" s="70"/>
      <c r="L35" s="70"/>
      <c r="M35" s="70"/>
    </row>
    <row r="36" spans="1:13">
      <c r="A36" s="465" t="s">
        <v>41</v>
      </c>
      <c r="B36" s="466"/>
      <c r="C36" s="466"/>
      <c r="D36" s="24" t="s">
        <v>42</v>
      </c>
      <c r="E36" s="24" t="s">
        <v>43</v>
      </c>
      <c r="F36" s="24" t="s">
        <v>44</v>
      </c>
      <c r="G36" s="24" t="s">
        <v>45</v>
      </c>
      <c r="H36" s="26" t="s">
        <v>32</v>
      </c>
      <c r="I36" s="70"/>
      <c r="J36" s="70"/>
      <c r="K36" s="70"/>
      <c r="L36" s="70"/>
      <c r="M36" s="70"/>
    </row>
    <row r="37" spans="1:13">
      <c r="A37" s="472" t="s">
        <v>64</v>
      </c>
      <c r="B37" s="472"/>
      <c r="C37" s="472"/>
      <c r="D37" s="45">
        <f>F16</f>
        <v>0.89</v>
      </c>
      <c r="E37" s="46">
        <v>130</v>
      </c>
      <c r="F37" s="23"/>
      <c r="G37" s="47">
        <v>1400</v>
      </c>
      <c r="H37" s="29">
        <f>D37*E37*G37</f>
        <v>161980</v>
      </c>
      <c r="I37" s="70"/>
      <c r="J37" s="70"/>
      <c r="K37" s="70"/>
      <c r="L37" s="70"/>
      <c r="M37" s="70"/>
    </row>
    <row r="38" spans="1:13">
      <c r="A38" s="472" t="s">
        <v>66</v>
      </c>
      <c r="B38" s="472"/>
      <c r="C38" s="472"/>
      <c r="D38" s="69">
        <f>F19</f>
        <v>0.25</v>
      </c>
      <c r="E38" s="23">
        <v>130</v>
      </c>
      <c r="F38" s="72"/>
      <c r="G38" s="28">
        <v>1400</v>
      </c>
      <c r="H38" s="29">
        <f>D38*E38*G38</f>
        <v>45500</v>
      </c>
      <c r="I38" s="70"/>
      <c r="J38" s="70"/>
      <c r="K38" s="70"/>
      <c r="L38" s="70"/>
      <c r="M38" s="70"/>
    </row>
    <row r="39" spans="1:13">
      <c r="A39" s="457"/>
      <c r="B39" s="458"/>
      <c r="C39" s="458"/>
      <c r="D39" s="27"/>
      <c r="E39" s="67"/>
      <c r="F39" s="23"/>
      <c r="G39" s="66"/>
      <c r="H39" s="29">
        <f t="shared" ref="H39" si="1">D39*E39*G39</f>
        <v>0</v>
      </c>
      <c r="I39" s="70"/>
      <c r="J39" s="70"/>
      <c r="K39" s="70"/>
      <c r="L39" s="70"/>
      <c r="M39" s="70"/>
    </row>
    <row r="40" spans="1:13">
      <c r="A40" s="20"/>
      <c r="B40" s="21"/>
      <c r="C40" s="21"/>
      <c r="D40" s="21"/>
      <c r="E40" s="21"/>
      <c r="F40" s="21"/>
      <c r="G40" s="50" t="s">
        <v>35</v>
      </c>
      <c r="H40" s="38">
        <f>SUM(H37:H39)</f>
        <v>207480</v>
      </c>
      <c r="I40" s="70"/>
      <c r="J40" s="70"/>
      <c r="K40" s="70"/>
      <c r="L40" s="70"/>
      <c r="M40" s="70"/>
    </row>
    <row r="41" spans="1:13">
      <c r="A41" s="20"/>
      <c r="B41" s="21"/>
      <c r="C41" s="21"/>
      <c r="D41" s="21"/>
      <c r="E41" s="21"/>
      <c r="F41" s="21"/>
      <c r="G41" s="43"/>
      <c r="H41" s="44"/>
      <c r="I41" s="70"/>
      <c r="J41" s="70"/>
      <c r="K41" s="70"/>
      <c r="L41" s="70"/>
      <c r="M41" s="70"/>
    </row>
    <row r="42" spans="1:13">
      <c r="A42" s="463" t="s">
        <v>46</v>
      </c>
      <c r="B42" s="463"/>
      <c r="C42" s="463"/>
      <c r="D42" s="463"/>
      <c r="E42" s="463"/>
      <c r="F42" s="463"/>
      <c r="G42" s="464"/>
      <c r="H42" s="464"/>
      <c r="I42" s="70"/>
      <c r="J42" s="70"/>
      <c r="K42" s="70"/>
      <c r="L42" s="70"/>
      <c r="M42" s="70"/>
    </row>
    <row r="43" spans="1:13">
      <c r="A43" s="465" t="s">
        <v>4</v>
      </c>
      <c r="B43" s="466"/>
      <c r="C43" s="466"/>
      <c r="D43" s="68" t="s">
        <v>58</v>
      </c>
      <c r="E43" s="24" t="s">
        <v>48</v>
      </c>
      <c r="F43" s="24" t="s">
        <v>49</v>
      </c>
      <c r="G43" s="24" t="s">
        <v>50</v>
      </c>
      <c r="H43" s="26" t="s">
        <v>32</v>
      </c>
      <c r="I43" s="70"/>
      <c r="J43" s="70"/>
      <c r="K43" s="70"/>
      <c r="L43" s="70"/>
      <c r="M43" s="70"/>
    </row>
    <row r="44" spans="1:13">
      <c r="A44" s="457" t="s">
        <v>51</v>
      </c>
      <c r="B44" s="458"/>
      <c r="C44" s="458"/>
      <c r="D44" s="52">
        <f>MO!F31/8</f>
        <v>24791.666666666668</v>
      </c>
      <c r="E44" s="23">
        <v>1</v>
      </c>
      <c r="F44" s="28">
        <f>D44*E44</f>
        <v>24791.666666666668</v>
      </c>
      <c r="G44" s="27">
        <v>2.9</v>
      </c>
      <c r="H44" s="53">
        <f>F44*G44</f>
        <v>71895.833333333328</v>
      </c>
      <c r="I44" s="70"/>
      <c r="J44" s="70"/>
      <c r="K44" s="70"/>
      <c r="L44" s="70"/>
      <c r="M44" s="70"/>
    </row>
    <row r="45" spans="1:13">
      <c r="A45" s="457" t="s">
        <v>52</v>
      </c>
      <c r="B45" s="458"/>
      <c r="C45" s="458"/>
      <c r="D45" s="52">
        <f>MO!F14/8</f>
        <v>14583.333333333334</v>
      </c>
      <c r="E45" s="23">
        <v>6</v>
      </c>
      <c r="F45" s="28">
        <f>D45*E45</f>
        <v>87500</v>
      </c>
      <c r="G45" s="27">
        <v>2.9</v>
      </c>
      <c r="H45" s="53">
        <f>F45*G45</f>
        <v>253750</v>
      </c>
      <c r="I45" s="70"/>
      <c r="J45" s="70"/>
      <c r="K45" s="70"/>
      <c r="L45" s="70"/>
      <c r="M45" s="70"/>
    </row>
    <row r="46" spans="1:13">
      <c r="A46" s="457"/>
      <c r="B46" s="458"/>
      <c r="C46" s="458"/>
      <c r="D46" s="40"/>
      <c r="E46" s="40"/>
      <c r="F46" s="54">
        <f>D46*E46</f>
        <v>0</v>
      </c>
      <c r="G46" s="40"/>
      <c r="H46" s="53">
        <f>F46*G46</f>
        <v>0</v>
      </c>
      <c r="I46" s="70"/>
      <c r="J46" s="70"/>
      <c r="K46" s="70"/>
      <c r="L46" s="70"/>
      <c r="M46" s="70"/>
    </row>
    <row r="47" spans="1:13">
      <c r="A47" s="457"/>
      <c r="B47" s="458"/>
      <c r="C47" s="458"/>
      <c r="D47" s="40"/>
      <c r="E47" s="40"/>
      <c r="F47" s="54">
        <f>D47*E47</f>
        <v>0</v>
      </c>
      <c r="G47" s="40"/>
      <c r="H47" s="53">
        <f>F47*G47</f>
        <v>0</v>
      </c>
      <c r="I47" s="70"/>
      <c r="J47" s="75"/>
      <c r="K47" s="70"/>
      <c r="L47" s="70"/>
      <c r="M47" s="70"/>
    </row>
    <row r="48" spans="1:13">
      <c r="A48" s="20"/>
      <c r="B48" s="21"/>
      <c r="C48" s="21"/>
      <c r="D48" s="21"/>
      <c r="E48" s="21"/>
      <c r="F48" s="21"/>
      <c r="G48" s="42" t="s">
        <v>35</v>
      </c>
      <c r="H48" s="38">
        <f>SUM(H44:H47)</f>
        <v>325645.83333333331</v>
      </c>
      <c r="I48" s="70"/>
      <c r="J48" s="70"/>
      <c r="K48" s="70"/>
      <c r="L48" s="70"/>
      <c r="M48" s="70"/>
    </row>
    <row r="49" spans="1:13">
      <c r="A49" s="20"/>
      <c r="B49" s="21"/>
      <c r="C49" s="21"/>
      <c r="D49" s="21"/>
      <c r="E49" s="21"/>
      <c r="F49" s="21"/>
      <c r="G49" s="21"/>
      <c r="H49" s="22"/>
      <c r="I49" s="70"/>
      <c r="J49" s="70"/>
      <c r="K49" s="70"/>
      <c r="L49" s="70"/>
      <c r="M49" s="70"/>
    </row>
    <row r="50" spans="1:13">
      <c r="A50" s="459" t="s">
        <v>53</v>
      </c>
      <c r="B50" s="459"/>
      <c r="C50" s="459"/>
      <c r="D50" s="459"/>
      <c r="E50" s="459"/>
      <c r="F50" s="459"/>
      <c r="G50" s="459"/>
      <c r="H50" s="29">
        <f>ROUND(H25+H33+H40+H48,0)</f>
        <v>23756659</v>
      </c>
      <c r="I50" s="70"/>
      <c r="J50" s="70"/>
      <c r="K50" s="70"/>
      <c r="L50" s="70"/>
      <c r="M50" s="70"/>
    </row>
    <row r="51" spans="1:13">
      <c r="A51" s="55"/>
      <c r="B51" s="56"/>
      <c r="C51" s="56"/>
      <c r="D51" s="56"/>
      <c r="E51" s="56"/>
      <c r="F51" s="56"/>
      <c r="G51" s="56"/>
      <c r="H51" s="57"/>
      <c r="I51" s="70"/>
      <c r="J51" s="70"/>
      <c r="K51" s="70"/>
      <c r="L51" s="70"/>
      <c r="M51" s="70"/>
    </row>
    <row r="52" spans="1:13">
      <c r="A52" s="55"/>
      <c r="B52" s="56"/>
      <c r="C52" s="56"/>
      <c r="D52" s="56"/>
      <c r="E52" s="56"/>
      <c r="F52" s="56"/>
      <c r="G52" s="56"/>
      <c r="H52" s="57"/>
      <c r="I52" s="70"/>
      <c r="J52" s="70"/>
      <c r="K52" s="70"/>
      <c r="L52" s="70"/>
      <c r="M52" s="70"/>
    </row>
    <row r="53" spans="1:13">
      <c r="A53" s="55"/>
      <c r="B53" s="56"/>
      <c r="C53" s="56"/>
      <c r="D53" s="56"/>
      <c r="E53" s="56"/>
      <c r="F53" s="56"/>
      <c r="G53" s="56"/>
      <c r="H53" s="57"/>
      <c r="I53" s="70"/>
      <c r="J53" s="70"/>
      <c r="K53" s="70"/>
      <c r="L53" s="70"/>
      <c r="M53" s="70"/>
    </row>
    <row r="54" spans="1:13">
      <c r="A54" s="55"/>
      <c r="B54" s="56"/>
      <c r="C54" s="56"/>
      <c r="D54" s="56"/>
      <c r="E54" s="56"/>
      <c r="F54" s="56"/>
      <c r="G54" s="56"/>
      <c r="H54" s="57"/>
      <c r="I54" s="70"/>
      <c r="J54" s="70"/>
      <c r="K54" s="70"/>
      <c r="L54" s="70"/>
      <c r="M54" s="70"/>
    </row>
    <row r="55" spans="1:13">
      <c r="A55" s="58"/>
      <c r="B55" s="59"/>
      <c r="C55" s="59"/>
      <c r="D55" s="59"/>
      <c r="E55" s="59"/>
      <c r="F55" s="59"/>
      <c r="G55" s="59"/>
      <c r="H55" s="60"/>
      <c r="I55" s="70"/>
      <c r="J55" s="70"/>
      <c r="K55" s="70"/>
      <c r="L55" s="70"/>
      <c r="M55" s="70"/>
    </row>
    <row r="56" spans="1:13">
      <c r="A56" s="460" t="s">
        <v>292</v>
      </c>
      <c r="B56" s="461"/>
      <c r="C56" s="461"/>
      <c r="D56" s="461"/>
      <c r="E56" s="59"/>
      <c r="F56" s="461" t="s">
        <v>76</v>
      </c>
      <c r="G56" s="461"/>
      <c r="H56" s="462"/>
      <c r="I56" s="70"/>
      <c r="J56" s="70"/>
      <c r="K56" s="70"/>
      <c r="L56" s="70"/>
      <c r="M56" s="70"/>
    </row>
    <row r="57" spans="1:13" ht="15" customHeight="1">
      <c r="A57" s="451" t="s">
        <v>291</v>
      </c>
      <c r="B57" s="452"/>
      <c r="C57" s="452"/>
      <c r="D57" s="452"/>
      <c r="E57" s="59"/>
      <c r="F57" s="453" t="s">
        <v>54</v>
      </c>
      <c r="G57" s="453"/>
      <c r="H57" s="454"/>
      <c r="I57" s="70"/>
      <c r="J57" s="70"/>
      <c r="K57" s="70"/>
      <c r="L57" s="70"/>
      <c r="M57" s="70"/>
    </row>
    <row r="58" spans="1:13">
      <c r="A58" s="61"/>
      <c r="B58" s="62"/>
      <c r="C58" s="62"/>
      <c r="D58" s="62"/>
      <c r="E58" s="62"/>
      <c r="F58" s="62"/>
      <c r="G58" s="62"/>
      <c r="H58" s="63"/>
      <c r="I58" s="70"/>
      <c r="J58" s="70"/>
      <c r="K58" s="70"/>
      <c r="L58" s="70"/>
      <c r="M58" s="70"/>
    </row>
  </sheetData>
  <mergeCells count="42"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31:C31"/>
    <mergeCell ref="A17:D17"/>
    <mergeCell ref="A18:D18"/>
    <mergeCell ref="A19:D19"/>
    <mergeCell ref="A20:D20"/>
    <mergeCell ref="A22:D22"/>
    <mergeCell ref="A23:D23"/>
    <mergeCell ref="A24:D24"/>
    <mergeCell ref="A27:H27"/>
    <mergeCell ref="A28:C28"/>
    <mergeCell ref="A29:C29"/>
    <mergeCell ref="A30:C30"/>
    <mergeCell ref="A21:D21"/>
    <mergeCell ref="A47:C47"/>
    <mergeCell ref="A32:D32"/>
    <mergeCell ref="A35:H35"/>
    <mergeCell ref="A36:C36"/>
    <mergeCell ref="A37:C37"/>
    <mergeCell ref="A38:C38"/>
    <mergeCell ref="A39:C39"/>
    <mergeCell ref="A42:H42"/>
    <mergeCell ref="A43:C43"/>
    <mergeCell ref="A44:C44"/>
    <mergeCell ref="A45:C45"/>
    <mergeCell ref="A46:C46"/>
    <mergeCell ref="A50:G50"/>
    <mergeCell ref="A56:D56"/>
    <mergeCell ref="F56:H56"/>
    <mergeCell ref="A57:D57"/>
    <mergeCell ref="F57:H57"/>
  </mergeCells>
  <pageMargins left="0.7" right="0.7" top="0.75" bottom="0.75" header="0.3" footer="0.3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CA663-E694-43F4-8BC8-793689D2FE49}">
  <dimension ref="A1:L57"/>
  <sheetViews>
    <sheetView topLeftCell="C9" workbookViewId="0">
      <selection activeCell="G43" sqref="G43"/>
    </sheetView>
  </sheetViews>
  <sheetFormatPr baseColWidth="10" defaultRowHeight="14.4"/>
  <cols>
    <col min="1" max="2" width="10.88671875" customWidth="1"/>
    <col min="3" max="3" width="20.6640625" customWidth="1"/>
    <col min="4" max="4" width="14" customWidth="1"/>
    <col min="5" max="5" width="14.44140625" customWidth="1"/>
    <col min="6" max="6" width="13.109375" customWidth="1"/>
    <col min="7" max="7" width="15" customWidth="1"/>
    <col min="8" max="8" width="17.5546875" customWidth="1"/>
    <col min="9" max="9" width="12"/>
    <col min="10" max="10" width="14.109375" bestFit="1" customWidth="1"/>
    <col min="11" max="12" width="12"/>
  </cols>
  <sheetData>
    <row r="1" spans="1:12" ht="15" thickBot="1">
      <c r="A1" s="481" t="s">
        <v>24</v>
      </c>
      <c r="B1" s="481"/>
      <c r="C1" s="481"/>
      <c r="D1" s="481"/>
      <c r="E1" s="481"/>
      <c r="F1" s="481"/>
      <c r="G1" s="481"/>
      <c r="H1" s="481"/>
      <c r="I1" s="70"/>
      <c r="J1" s="70"/>
      <c r="K1" s="70"/>
      <c r="L1" s="70"/>
    </row>
    <row r="2" spans="1:12" ht="15" thickTop="1">
      <c r="A2" s="20"/>
      <c r="B2" s="21"/>
      <c r="C2" s="21"/>
      <c r="D2" s="21"/>
      <c r="E2" s="21"/>
      <c r="F2" s="21"/>
      <c r="G2" s="21"/>
      <c r="H2" s="22"/>
      <c r="I2" s="70"/>
      <c r="J2" s="70"/>
      <c r="K2" s="70"/>
      <c r="L2" s="70"/>
    </row>
    <row r="3" spans="1:12">
      <c r="A3" s="482" t="s">
        <v>25</v>
      </c>
      <c r="B3" s="483"/>
      <c r="C3" s="483"/>
      <c r="D3" s="483"/>
      <c r="E3" s="483"/>
      <c r="F3" s="483"/>
      <c r="G3" s="483"/>
      <c r="H3" s="484"/>
      <c r="I3" s="70"/>
      <c r="J3" s="70"/>
      <c r="K3" s="70"/>
      <c r="L3" s="70"/>
    </row>
    <row r="4" spans="1:12">
      <c r="A4" s="482" t="s">
        <v>26</v>
      </c>
      <c r="B4" s="483"/>
      <c r="C4" s="483"/>
      <c r="D4" s="483"/>
      <c r="E4" s="483"/>
      <c r="F4" s="483"/>
      <c r="G4" s="483"/>
      <c r="H4" s="484"/>
      <c r="I4" s="70"/>
      <c r="J4" s="70"/>
      <c r="K4" s="70"/>
      <c r="L4" s="70"/>
    </row>
    <row r="5" spans="1:12" ht="26.25" customHeight="1">
      <c r="A5" s="20"/>
      <c r="B5" s="21"/>
      <c r="C5" s="21"/>
      <c r="D5" s="21"/>
      <c r="E5" s="21"/>
      <c r="F5" s="21"/>
      <c r="G5" s="21"/>
      <c r="H5" s="22"/>
      <c r="I5" s="70"/>
      <c r="J5" s="70"/>
      <c r="K5" s="70"/>
      <c r="L5" s="70"/>
    </row>
    <row r="6" spans="1:12">
      <c r="A6" s="485" t="s">
        <v>55</v>
      </c>
      <c r="B6" s="562" t="str">
        <f>+PTO!D3</f>
        <v>MEJORAMIENTO DE LAS IET GENERAL SANTANDER SEDE PRINCIPAL Y FRANCISCO JULIAN OLAYA SEDE PRINCIPAL DEL MUNICIPIO DE RIOBLANCO TOLIMA</v>
      </c>
      <c r="C6" s="562"/>
      <c r="D6" s="562"/>
      <c r="E6" s="562"/>
      <c r="F6" s="562"/>
      <c r="G6" s="562"/>
      <c r="H6" s="562"/>
      <c r="I6" s="70"/>
      <c r="J6" s="70"/>
      <c r="K6" s="70"/>
      <c r="L6" s="70"/>
    </row>
    <row r="7" spans="1:12" ht="24.75" customHeight="1">
      <c r="A7" s="486"/>
      <c r="B7" s="562"/>
      <c r="C7" s="562"/>
      <c r="D7" s="562"/>
      <c r="E7" s="562"/>
      <c r="F7" s="562"/>
      <c r="G7" s="562"/>
      <c r="H7" s="562"/>
      <c r="I7" s="70"/>
      <c r="J7" s="70"/>
      <c r="K7" s="70"/>
      <c r="L7" s="70"/>
    </row>
    <row r="8" spans="1:12">
      <c r="A8" s="20"/>
      <c r="B8" s="21"/>
      <c r="C8" s="21"/>
      <c r="D8" s="21"/>
      <c r="E8" s="21"/>
      <c r="F8" s="21"/>
      <c r="G8" s="21"/>
      <c r="H8" s="22"/>
      <c r="I8" s="70"/>
      <c r="J8" s="70"/>
      <c r="K8" s="70"/>
      <c r="L8" s="70"/>
    </row>
    <row r="9" spans="1:12">
      <c r="A9" s="459" t="s">
        <v>3</v>
      </c>
      <c r="B9" s="459"/>
      <c r="C9" s="459"/>
      <c r="D9" s="23" t="str">
        <f>+PTO!B25</f>
        <v>ELC-007</v>
      </c>
      <c r="E9" s="24" t="s">
        <v>28</v>
      </c>
      <c r="F9" s="23" t="str">
        <f>+PTO!E25</f>
        <v>M</v>
      </c>
      <c r="G9" s="24" t="s">
        <v>22</v>
      </c>
      <c r="H9" s="25">
        <v>1</v>
      </c>
      <c r="I9" s="70"/>
      <c r="J9" s="70"/>
      <c r="K9" s="70"/>
      <c r="L9" s="70"/>
    </row>
    <row r="10" spans="1:12">
      <c r="A10" s="476" t="s">
        <v>4</v>
      </c>
      <c r="B10" s="476"/>
      <c r="C10" s="476"/>
      <c r="D10" s="563" t="str">
        <f>+PTO!D25</f>
        <v>CANALETA ELECTRICA 12CMX20CMX2M (INCLUYE PUNTOS ELECTRICOS Y JACK)</v>
      </c>
      <c r="E10" s="563"/>
      <c r="F10" s="563"/>
      <c r="G10" s="563"/>
      <c r="H10" s="563"/>
      <c r="I10" s="70"/>
      <c r="J10" s="70"/>
      <c r="K10" s="70"/>
      <c r="L10" s="70"/>
    </row>
    <row r="11" spans="1:12">
      <c r="A11" s="476"/>
      <c r="B11" s="476"/>
      <c r="C11" s="476"/>
      <c r="D11" s="563"/>
      <c r="E11" s="563"/>
      <c r="F11" s="563"/>
      <c r="G11" s="563"/>
      <c r="H11" s="563"/>
      <c r="I11" s="70"/>
      <c r="J11" s="70"/>
      <c r="K11" s="70"/>
      <c r="L11" s="70"/>
    </row>
    <row r="12" spans="1:12">
      <c r="A12" s="20"/>
      <c r="B12" s="21"/>
      <c r="C12" s="21"/>
      <c r="D12" s="21"/>
      <c r="E12" s="21"/>
      <c r="F12" s="21"/>
      <c r="G12" s="21"/>
      <c r="H12" s="22"/>
      <c r="I12" s="70"/>
      <c r="J12" s="70"/>
      <c r="K12" s="70"/>
      <c r="L12" s="70"/>
    </row>
    <row r="13" spans="1:12">
      <c r="A13" s="463" t="s">
        <v>29</v>
      </c>
      <c r="B13" s="463"/>
      <c r="C13" s="463"/>
      <c r="D13" s="463"/>
      <c r="E13" s="463"/>
      <c r="F13" s="463"/>
      <c r="G13" s="463"/>
      <c r="H13" s="463"/>
      <c r="I13" s="70"/>
      <c r="J13" s="70"/>
      <c r="K13" s="70"/>
      <c r="L13" s="70"/>
    </row>
    <row r="14" spans="1:12">
      <c r="A14" s="459" t="s">
        <v>4</v>
      </c>
      <c r="B14" s="459"/>
      <c r="C14" s="459"/>
      <c r="D14" s="459"/>
      <c r="E14" s="24" t="s">
        <v>5</v>
      </c>
      <c r="F14" s="24" t="s">
        <v>30</v>
      </c>
      <c r="G14" s="24" t="s">
        <v>31</v>
      </c>
      <c r="H14" s="26" t="s">
        <v>32</v>
      </c>
      <c r="I14" s="70"/>
      <c r="J14" s="71" t="s">
        <v>59</v>
      </c>
      <c r="K14" s="24" t="s">
        <v>60</v>
      </c>
      <c r="L14" s="40">
        <v>8.2000000000000003E-2</v>
      </c>
    </row>
    <row r="15" spans="1:12">
      <c r="A15" s="473" t="s">
        <v>61</v>
      </c>
      <c r="B15" s="474"/>
      <c r="C15" s="474"/>
      <c r="D15" s="475"/>
      <c r="E15" s="23" t="s">
        <v>62</v>
      </c>
      <c r="F15" s="72">
        <f>L15</f>
        <v>0.57400000000000007</v>
      </c>
      <c r="G15" s="28">
        <f>+INS!F10</f>
        <v>47333</v>
      </c>
      <c r="H15" s="29">
        <f>F15*G15</f>
        <v>27169.142000000003</v>
      </c>
      <c r="I15" s="70"/>
      <c r="J15" s="40" t="s">
        <v>63</v>
      </c>
      <c r="K15" s="23">
        <v>7</v>
      </c>
      <c r="L15" s="40">
        <f>$L$14*K15</f>
        <v>0.57400000000000007</v>
      </c>
    </row>
    <row r="16" spans="1:12">
      <c r="A16" s="473" t="s">
        <v>64</v>
      </c>
      <c r="B16" s="474"/>
      <c r="C16" s="474"/>
      <c r="D16" s="475"/>
      <c r="E16" s="23" t="s">
        <v>11</v>
      </c>
      <c r="F16" s="73">
        <f>L17</f>
        <v>7.2980000000000003E-2</v>
      </c>
      <c r="G16" s="28">
        <f>+INS!F62</f>
        <v>217900</v>
      </c>
      <c r="H16" s="29">
        <f>F16*G16</f>
        <v>15902.342000000001</v>
      </c>
      <c r="I16" s="70"/>
      <c r="J16" s="40" t="s">
        <v>65</v>
      </c>
      <c r="K16" s="23">
        <v>0.56000000000000005</v>
      </c>
      <c r="L16" s="40">
        <f>$L$14*K16</f>
        <v>4.5920000000000009E-2</v>
      </c>
    </row>
    <row r="17" spans="1:12">
      <c r="A17" s="473" t="s">
        <v>66</v>
      </c>
      <c r="B17" s="474"/>
      <c r="C17" s="474"/>
      <c r="D17" s="475"/>
      <c r="E17" s="23" t="s">
        <v>11</v>
      </c>
      <c r="F17" s="73">
        <f>L16</f>
        <v>4.5920000000000009E-2</v>
      </c>
      <c r="G17" s="28">
        <f>+INS!F5</f>
        <v>3900</v>
      </c>
      <c r="H17" s="29">
        <f>F17*G17</f>
        <v>179.08800000000005</v>
      </c>
      <c r="I17" s="70"/>
      <c r="J17" s="40" t="s">
        <v>67</v>
      </c>
      <c r="K17" s="23">
        <v>0.89</v>
      </c>
      <c r="L17" s="40">
        <f>$L$14*K17</f>
        <v>7.2980000000000003E-2</v>
      </c>
    </row>
    <row r="18" spans="1:12">
      <c r="A18" s="473" t="s">
        <v>68</v>
      </c>
      <c r="B18" s="474"/>
      <c r="C18" s="474"/>
      <c r="D18" s="475"/>
      <c r="E18" s="23" t="s">
        <v>69</v>
      </c>
      <c r="F18" s="72">
        <f>L19</f>
        <v>14.76</v>
      </c>
      <c r="G18" s="28">
        <v>30</v>
      </c>
      <c r="H18" s="29">
        <f>F18*G18</f>
        <v>442.8</v>
      </c>
      <c r="I18" s="70"/>
      <c r="J18" s="70"/>
      <c r="K18" s="74"/>
      <c r="L18" s="70"/>
    </row>
    <row r="19" spans="1:12">
      <c r="A19" s="473" t="s">
        <v>91</v>
      </c>
      <c r="B19" s="474"/>
      <c r="C19" s="474"/>
      <c r="D19" s="475"/>
      <c r="E19" s="23" t="s">
        <v>105</v>
      </c>
      <c r="F19" s="72">
        <v>0.16</v>
      </c>
      <c r="G19" s="28">
        <f>+INS!F61</f>
        <v>170000</v>
      </c>
      <c r="H19" s="29">
        <f t="shared" ref="H19:H21" si="0">F19*G19</f>
        <v>27200</v>
      </c>
      <c r="I19" s="70"/>
      <c r="J19" s="40" t="s">
        <v>68</v>
      </c>
      <c r="K19" s="23">
        <f>180</f>
        <v>180</v>
      </c>
      <c r="L19" s="40">
        <f>$L$14*K19</f>
        <v>14.76</v>
      </c>
    </row>
    <row r="20" spans="1:12">
      <c r="A20" s="473" t="s">
        <v>128</v>
      </c>
      <c r="B20" s="474"/>
      <c r="C20" s="474"/>
      <c r="D20" s="475"/>
      <c r="E20" s="23" t="s">
        <v>84</v>
      </c>
      <c r="F20" s="27">
        <v>1</v>
      </c>
      <c r="G20" s="28">
        <f>+INS!F45</f>
        <v>7500000</v>
      </c>
      <c r="H20" s="29">
        <f t="shared" si="0"/>
        <v>7500000</v>
      </c>
      <c r="I20" s="70"/>
      <c r="J20" s="70"/>
      <c r="K20" s="70"/>
      <c r="L20" s="70"/>
    </row>
    <row r="21" spans="1:12">
      <c r="A21" s="473" t="s">
        <v>89</v>
      </c>
      <c r="B21" s="474"/>
      <c r="C21" s="474"/>
      <c r="D21" s="475"/>
      <c r="E21" s="23" t="s">
        <v>90</v>
      </c>
      <c r="F21" s="27">
        <v>0.25</v>
      </c>
      <c r="G21" s="33">
        <f>+INS!F48</f>
        <v>13500</v>
      </c>
      <c r="H21" s="29">
        <f t="shared" si="0"/>
        <v>3375</v>
      </c>
      <c r="I21" s="70"/>
      <c r="J21" s="70"/>
      <c r="K21" s="70"/>
      <c r="L21" s="70"/>
    </row>
    <row r="22" spans="1:12">
      <c r="A22" s="473"/>
      <c r="B22" s="474"/>
      <c r="C22" s="474"/>
      <c r="D22" s="475"/>
      <c r="E22" s="23"/>
      <c r="F22" s="27"/>
      <c r="G22" s="28"/>
      <c r="H22" s="29"/>
      <c r="I22" s="70"/>
      <c r="J22" s="70"/>
      <c r="K22" s="70"/>
      <c r="L22" s="70"/>
    </row>
    <row r="23" spans="1:12">
      <c r="A23" s="473"/>
      <c r="B23" s="474"/>
      <c r="C23" s="474"/>
      <c r="D23" s="475"/>
      <c r="E23" s="23"/>
      <c r="F23" s="64"/>
      <c r="G23" s="28"/>
      <c r="H23" s="29"/>
      <c r="I23" s="70"/>
      <c r="J23" s="70"/>
      <c r="K23" s="70"/>
      <c r="L23" s="70"/>
    </row>
    <row r="24" spans="1:12">
      <c r="A24" s="20"/>
      <c r="B24" s="21"/>
      <c r="C24" s="21"/>
      <c r="D24" s="21"/>
      <c r="E24" s="21"/>
      <c r="F24" s="21"/>
      <c r="G24" s="42" t="s">
        <v>35</v>
      </c>
      <c r="H24" s="38">
        <f>SUM(H15:H23)</f>
        <v>7574268.3720000004</v>
      </c>
      <c r="I24" s="70"/>
      <c r="J24" s="70"/>
      <c r="K24" s="70"/>
      <c r="L24" s="70"/>
    </row>
    <row r="25" spans="1:12">
      <c r="A25" s="20"/>
      <c r="B25" s="21"/>
      <c r="C25" s="21"/>
      <c r="D25" s="21"/>
      <c r="E25" s="21"/>
      <c r="F25" s="21"/>
      <c r="G25" s="21"/>
      <c r="H25" s="22"/>
      <c r="I25" s="70"/>
      <c r="J25" s="70"/>
      <c r="K25" s="70"/>
      <c r="L25" s="70"/>
    </row>
    <row r="26" spans="1:12">
      <c r="A26" s="463" t="s">
        <v>36</v>
      </c>
      <c r="B26" s="463"/>
      <c r="C26" s="463"/>
      <c r="D26" s="463"/>
      <c r="E26" s="463"/>
      <c r="F26" s="463"/>
      <c r="G26" s="463"/>
      <c r="H26" s="463"/>
      <c r="I26" s="70"/>
      <c r="J26" s="70"/>
      <c r="K26" s="70"/>
      <c r="L26" s="70"/>
    </row>
    <row r="27" spans="1:12">
      <c r="A27" s="465" t="s">
        <v>4</v>
      </c>
      <c r="B27" s="466"/>
      <c r="C27" s="466"/>
      <c r="D27" s="24" t="s">
        <v>37</v>
      </c>
      <c r="E27" s="24" t="s">
        <v>5</v>
      </c>
      <c r="F27" s="24" t="s">
        <v>56</v>
      </c>
      <c r="G27" s="24" t="s">
        <v>39</v>
      </c>
      <c r="H27" s="26" t="s">
        <v>32</v>
      </c>
      <c r="I27" s="70"/>
      <c r="J27" s="70"/>
      <c r="K27" s="70"/>
      <c r="L27" s="70"/>
    </row>
    <row r="28" spans="1:12">
      <c r="A28" s="457" t="s">
        <v>70</v>
      </c>
      <c r="B28" s="458"/>
      <c r="C28" s="561"/>
      <c r="D28" s="69"/>
      <c r="E28" s="23"/>
      <c r="F28" s="65">
        <v>10000</v>
      </c>
      <c r="G28" s="27">
        <f>G43</f>
        <v>1</v>
      </c>
      <c r="H28" s="29">
        <f>F28*G28</f>
        <v>10000</v>
      </c>
      <c r="I28" s="70"/>
      <c r="J28" s="70"/>
      <c r="K28" s="70"/>
      <c r="L28" s="70"/>
    </row>
    <row r="29" spans="1:12">
      <c r="A29" s="457" t="s">
        <v>71</v>
      </c>
      <c r="B29" s="458"/>
      <c r="C29" s="458"/>
      <c r="D29" s="27"/>
      <c r="E29" s="23"/>
      <c r="F29" s="65">
        <v>7000</v>
      </c>
      <c r="G29" s="27">
        <f>G44</f>
        <v>1</v>
      </c>
      <c r="H29" s="29">
        <f>F29*G29</f>
        <v>7000</v>
      </c>
      <c r="I29" s="70"/>
      <c r="J29" s="70"/>
      <c r="K29" s="70"/>
      <c r="L29" s="70"/>
    </row>
    <row r="30" spans="1:12">
      <c r="A30" s="457"/>
      <c r="B30" s="458"/>
      <c r="C30" s="458"/>
      <c r="D30" s="27"/>
      <c r="E30" s="23"/>
      <c r="F30" s="23"/>
      <c r="G30" s="66"/>
      <c r="H30" s="29"/>
      <c r="I30" s="70"/>
      <c r="J30" s="70"/>
      <c r="K30" s="70"/>
      <c r="L30" s="70"/>
    </row>
    <row r="31" spans="1:12">
      <c r="A31" s="473" t="s">
        <v>33</v>
      </c>
      <c r="B31" s="474"/>
      <c r="C31" s="474"/>
      <c r="D31" s="475"/>
      <c r="E31" s="23" t="s">
        <v>57</v>
      </c>
      <c r="F31" s="64">
        <v>0.05</v>
      </c>
      <c r="G31" s="28">
        <f>+H47</f>
        <v>83125</v>
      </c>
      <c r="H31" s="29">
        <f>F31*G31</f>
        <v>4156.25</v>
      </c>
      <c r="I31" s="70"/>
      <c r="J31" s="70"/>
      <c r="K31" s="70"/>
      <c r="L31" s="70"/>
    </row>
    <row r="32" spans="1:12">
      <c r="A32" s="20"/>
      <c r="B32" s="21"/>
      <c r="C32" s="21"/>
      <c r="D32" s="21"/>
      <c r="E32" s="21"/>
      <c r="F32" s="21"/>
      <c r="G32" s="42" t="s">
        <v>35</v>
      </c>
      <c r="H32" s="38">
        <f>SUM(H28:H31)</f>
        <v>21156.25</v>
      </c>
      <c r="I32" s="70"/>
      <c r="J32" s="70"/>
      <c r="K32" s="70"/>
      <c r="L32" s="70"/>
    </row>
    <row r="33" spans="1:12">
      <c r="A33" s="20"/>
      <c r="B33" s="21"/>
      <c r="C33" s="21"/>
      <c r="D33" s="21"/>
      <c r="E33" s="21"/>
      <c r="F33" s="21"/>
      <c r="G33" s="43"/>
      <c r="H33" s="44"/>
      <c r="I33" s="70"/>
      <c r="J33" s="70"/>
      <c r="K33" s="70"/>
      <c r="L33" s="70"/>
    </row>
    <row r="34" spans="1:12">
      <c r="A34" s="468" t="s">
        <v>40</v>
      </c>
      <c r="B34" s="469"/>
      <c r="C34" s="469"/>
      <c r="D34" s="469"/>
      <c r="E34" s="469"/>
      <c r="F34" s="469"/>
      <c r="G34" s="469"/>
      <c r="H34" s="470"/>
      <c r="I34" s="70"/>
      <c r="J34" s="70"/>
      <c r="K34" s="70"/>
      <c r="L34" s="70"/>
    </row>
    <row r="35" spans="1:12">
      <c r="A35" s="465" t="s">
        <v>41</v>
      </c>
      <c r="B35" s="466"/>
      <c r="C35" s="466"/>
      <c r="D35" s="24" t="s">
        <v>42</v>
      </c>
      <c r="E35" s="24" t="s">
        <v>43</v>
      </c>
      <c r="F35" s="24" t="s">
        <v>44</v>
      </c>
      <c r="G35" s="24" t="s">
        <v>45</v>
      </c>
      <c r="H35" s="26" t="s">
        <v>32</v>
      </c>
      <c r="I35" s="70"/>
      <c r="J35" s="70"/>
      <c r="K35" s="70"/>
      <c r="L35" s="70"/>
    </row>
    <row r="36" spans="1:12">
      <c r="A36" s="472" t="s">
        <v>64</v>
      </c>
      <c r="B36" s="472"/>
      <c r="C36" s="472"/>
      <c r="D36" s="45">
        <f>F16</f>
        <v>7.2980000000000003E-2</v>
      </c>
      <c r="E36" s="46">
        <v>130</v>
      </c>
      <c r="F36" s="23"/>
      <c r="G36" s="47">
        <v>1400</v>
      </c>
      <c r="H36" s="29">
        <f>D36*E36*G36</f>
        <v>13282.36</v>
      </c>
      <c r="I36" s="70"/>
      <c r="J36" s="70"/>
      <c r="K36" s="70"/>
      <c r="L36" s="70"/>
    </row>
    <row r="37" spans="1:12">
      <c r="A37" s="472" t="s">
        <v>66</v>
      </c>
      <c r="B37" s="472"/>
      <c r="C37" s="472"/>
      <c r="D37" s="45">
        <v>4.5999999999999999E-2</v>
      </c>
      <c r="E37" s="23">
        <v>130</v>
      </c>
      <c r="F37" s="23"/>
      <c r="G37" s="47">
        <v>1400</v>
      </c>
      <c r="H37" s="29">
        <f>D37*E37*G37</f>
        <v>8372</v>
      </c>
      <c r="I37" s="70"/>
      <c r="J37" s="70"/>
      <c r="K37" s="70"/>
      <c r="L37" s="70"/>
    </row>
    <row r="38" spans="1:12">
      <c r="A38" s="457"/>
      <c r="B38" s="458"/>
      <c r="C38" s="458"/>
      <c r="D38" s="27"/>
      <c r="E38" s="67"/>
      <c r="F38" s="23"/>
      <c r="G38" s="66"/>
      <c r="H38" s="29">
        <f t="shared" ref="H38" si="1">D38*E38*G38</f>
        <v>0</v>
      </c>
      <c r="I38" s="70"/>
      <c r="J38" s="70"/>
      <c r="K38" s="70"/>
      <c r="L38" s="70"/>
    </row>
    <row r="39" spans="1:12">
      <c r="A39" s="20"/>
      <c r="B39" s="21"/>
      <c r="C39" s="21"/>
      <c r="D39" s="21"/>
      <c r="E39" s="21"/>
      <c r="F39" s="21"/>
      <c r="G39" s="50" t="s">
        <v>35</v>
      </c>
      <c r="H39" s="38">
        <f>SUM(H36:H38)</f>
        <v>21654.36</v>
      </c>
      <c r="I39" s="70"/>
      <c r="J39" s="70"/>
      <c r="K39" s="70"/>
      <c r="L39" s="70"/>
    </row>
    <row r="40" spans="1:12">
      <c r="A40" s="20"/>
      <c r="B40" s="21"/>
      <c r="C40" s="21"/>
      <c r="D40" s="21"/>
      <c r="E40" s="21"/>
      <c r="F40" s="21"/>
      <c r="G40" s="43"/>
      <c r="H40" s="44"/>
      <c r="I40" s="70"/>
      <c r="J40" s="70"/>
      <c r="K40" s="70"/>
      <c r="L40" s="70"/>
    </row>
    <row r="41" spans="1:12">
      <c r="A41" s="463" t="s">
        <v>46</v>
      </c>
      <c r="B41" s="463"/>
      <c r="C41" s="463"/>
      <c r="D41" s="463"/>
      <c r="E41" s="463"/>
      <c r="F41" s="463"/>
      <c r="G41" s="464"/>
      <c r="H41" s="464"/>
      <c r="I41" s="70"/>
      <c r="J41" s="70"/>
      <c r="K41" s="70"/>
      <c r="L41" s="70"/>
    </row>
    <row r="42" spans="1:12">
      <c r="A42" s="465" t="s">
        <v>4</v>
      </c>
      <c r="B42" s="466"/>
      <c r="C42" s="466"/>
      <c r="D42" s="68" t="s">
        <v>58</v>
      </c>
      <c r="E42" s="24" t="s">
        <v>48</v>
      </c>
      <c r="F42" s="24" t="s">
        <v>49</v>
      </c>
      <c r="G42" s="24" t="s">
        <v>50</v>
      </c>
      <c r="H42" s="26" t="s">
        <v>32</v>
      </c>
      <c r="I42" s="70"/>
      <c r="J42" s="70"/>
      <c r="K42" s="70"/>
      <c r="L42" s="70"/>
    </row>
    <row r="43" spans="1:12">
      <c r="A43" s="457" t="s">
        <v>51</v>
      </c>
      <c r="B43" s="458"/>
      <c r="C43" s="458"/>
      <c r="D43" s="52">
        <f>MO!F31/8</f>
        <v>24791.666666666668</v>
      </c>
      <c r="E43" s="23">
        <v>1</v>
      </c>
      <c r="F43" s="28">
        <f>D43*E43</f>
        <v>24791.666666666668</v>
      </c>
      <c r="G43" s="27">
        <v>1</v>
      </c>
      <c r="H43" s="53">
        <f>F43*G43</f>
        <v>24791.666666666668</v>
      </c>
      <c r="I43" s="70"/>
      <c r="J43" s="70"/>
      <c r="K43" s="70"/>
      <c r="L43" s="70"/>
    </row>
    <row r="44" spans="1:12">
      <c r="A44" s="457" t="s">
        <v>52</v>
      </c>
      <c r="B44" s="458"/>
      <c r="C44" s="458"/>
      <c r="D44" s="52">
        <f>MO!F14/8</f>
        <v>14583.333333333334</v>
      </c>
      <c r="E44" s="23">
        <v>4</v>
      </c>
      <c r="F44" s="28">
        <f>D44*E44</f>
        <v>58333.333333333336</v>
      </c>
      <c r="G44" s="27">
        <v>1</v>
      </c>
      <c r="H44" s="53">
        <f>F44*G44</f>
        <v>58333.333333333336</v>
      </c>
      <c r="I44" s="70"/>
      <c r="J44" s="70"/>
      <c r="K44" s="70"/>
      <c r="L44" s="70"/>
    </row>
    <row r="45" spans="1:12">
      <c r="A45" s="457"/>
      <c r="B45" s="458"/>
      <c r="C45" s="458"/>
      <c r="D45" s="40"/>
      <c r="E45" s="40"/>
      <c r="F45" s="54">
        <f>D45*E45</f>
        <v>0</v>
      </c>
      <c r="G45" s="40"/>
      <c r="H45" s="53">
        <f>F45*G45</f>
        <v>0</v>
      </c>
      <c r="I45" s="70"/>
      <c r="J45" s="70"/>
      <c r="K45" s="70"/>
      <c r="L45" s="70"/>
    </row>
    <row r="46" spans="1:12">
      <c r="A46" s="457"/>
      <c r="B46" s="458"/>
      <c r="C46" s="458"/>
      <c r="D46" s="40"/>
      <c r="E46" s="40"/>
      <c r="F46" s="54">
        <f>D46*E46</f>
        <v>0</v>
      </c>
      <c r="G46" s="40"/>
      <c r="H46" s="53">
        <f>F46*G46</f>
        <v>0</v>
      </c>
      <c r="I46" s="70"/>
      <c r="J46" s="75"/>
      <c r="K46" s="70"/>
      <c r="L46" s="70"/>
    </row>
    <row r="47" spans="1:12">
      <c r="A47" s="20"/>
      <c r="B47" s="21"/>
      <c r="C47" s="21"/>
      <c r="D47" s="21"/>
      <c r="E47" s="21"/>
      <c r="F47" s="21"/>
      <c r="G47" s="42" t="s">
        <v>35</v>
      </c>
      <c r="H47" s="38">
        <f>SUM(H43:H46)</f>
        <v>83125</v>
      </c>
      <c r="I47" s="70"/>
      <c r="J47" s="70"/>
      <c r="K47" s="70"/>
      <c r="L47" s="70"/>
    </row>
    <row r="48" spans="1:12">
      <c r="A48" s="20"/>
      <c r="B48" s="21"/>
      <c r="C48" s="21"/>
      <c r="D48" s="21"/>
      <c r="E48" s="21"/>
      <c r="F48" s="21"/>
      <c r="G48" s="21"/>
      <c r="H48" s="22"/>
      <c r="I48" s="70"/>
      <c r="J48" s="70"/>
      <c r="K48" s="70"/>
      <c r="L48" s="70"/>
    </row>
    <row r="49" spans="1:12">
      <c r="A49" s="459" t="s">
        <v>53</v>
      </c>
      <c r="B49" s="459"/>
      <c r="C49" s="459"/>
      <c r="D49" s="459"/>
      <c r="E49" s="459"/>
      <c r="F49" s="459"/>
      <c r="G49" s="459"/>
      <c r="H49" s="29">
        <f>ROUND(H24+H32+H39+H47,0)</f>
        <v>7700204</v>
      </c>
      <c r="I49" s="70"/>
      <c r="J49" s="70"/>
      <c r="K49" s="70"/>
      <c r="L49" s="70"/>
    </row>
    <row r="50" spans="1:12">
      <c r="A50" s="55"/>
      <c r="B50" s="56"/>
      <c r="C50" s="56"/>
      <c r="D50" s="56"/>
      <c r="E50" s="56"/>
      <c r="F50" s="56"/>
      <c r="G50" s="56"/>
      <c r="H50" s="57"/>
      <c r="I50" s="70"/>
      <c r="J50" s="70"/>
      <c r="K50" s="70"/>
      <c r="L50" s="70"/>
    </row>
    <row r="51" spans="1:12">
      <c r="A51" s="55"/>
      <c r="B51" s="56"/>
      <c r="C51" s="56"/>
      <c r="D51" s="56"/>
      <c r="E51" s="56"/>
      <c r="F51" s="56"/>
      <c r="G51" s="56"/>
      <c r="H51" s="57"/>
      <c r="I51" s="70"/>
      <c r="J51" s="70"/>
      <c r="K51" s="70"/>
      <c r="L51" s="70"/>
    </row>
    <row r="52" spans="1:12">
      <c r="A52" s="55"/>
      <c r="B52" s="56"/>
      <c r="C52" s="56"/>
      <c r="D52" s="56"/>
      <c r="E52" s="56"/>
      <c r="F52" s="56"/>
      <c r="G52" s="56"/>
      <c r="H52" s="57"/>
      <c r="I52" s="70"/>
      <c r="J52" s="70"/>
      <c r="K52" s="70"/>
      <c r="L52" s="70"/>
    </row>
    <row r="53" spans="1:12">
      <c r="A53" s="55"/>
      <c r="B53" s="56"/>
      <c r="C53" s="56"/>
      <c r="D53" s="56"/>
      <c r="E53" s="56"/>
      <c r="F53" s="56"/>
      <c r="G53" s="56"/>
      <c r="H53" s="57"/>
      <c r="I53" s="70"/>
      <c r="J53" s="70"/>
      <c r="K53" s="70"/>
      <c r="L53" s="70"/>
    </row>
    <row r="54" spans="1:12">
      <c r="A54" s="58"/>
      <c r="B54" s="59"/>
      <c r="C54" s="59"/>
      <c r="D54" s="59"/>
      <c r="E54" s="59"/>
      <c r="F54" s="59"/>
      <c r="G54" s="59"/>
      <c r="H54" s="60"/>
      <c r="I54" s="70"/>
      <c r="J54" s="70"/>
      <c r="K54" s="70"/>
      <c r="L54" s="70"/>
    </row>
    <row r="55" spans="1:12">
      <c r="A55" s="460" t="s">
        <v>292</v>
      </c>
      <c r="B55" s="461"/>
      <c r="C55" s="461"/>
      <c r="D55" s="461"/>
      <c r="E55" s="59"/>
      <c r="F55" s="461" t="s">
        <v>76</v>
      </c>
      <c r="G55" s="461"/>
      <c r="H55" s="462"/>
      <c r="I55" s="70"/>
      <c r="J55" s="70"/>
      <c r="K55" s="70"/>
      <c r="L55" s="70"/>
    </row>
    <row r="56" spans="1:12" ht="15" customHeight="1">
      <c r="A56" s="451" t="s">
        <v>291</v>
      </c>
      <c r="B56" s="452"/>
      <c r="C56" s="452"/>
      <c r="D56" s="452"/>
      <c r="E56" s="59"/>
      <c r="F56" s="453" t="s">
        <v>54</v>
      </c>
      <c r="G56" s="453"/>
      <c r="H56" s="454"/>
      <c r="I56" s="70"/>
      <c r="J56" s="70"/>
      <c r="K56" s="70"/>
      <c r="L56" s="70"/>
    </row>
    <row r="57" spans="1:12">
      <c r="A57" s="61"/>
      <c r="B57" s="62"/>
      <c r="C57" s="62"/>
      <c r="D57" s="62"/>
      <c r="E57" s="62"/>
      <c r="F57" s="62"/>
      <c r="G57" s="62"/>
      <c r="H57" s="63"/>
      <c r="I57" s="70"/>
      <c r="J57" s="70"/>
      <c r="K57" s="70"/>
      <c r="L57" s="70"/>
    </row>
  </sheetData>
  <mergeCells count="41"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30:C30"/>
    <mergeCell ref="A17:D17"/>
    <mergeCell ref="A18:D18"/>
    <mergeCell ref="A19:D19"/>
    <mergeCell ref="A20:D20"/>
    <mergeCell ref="A21:D21"/>
    <mergeCell ref="A22:D22"/>
    <mergeCell ref="A23:D23"/>
    <mergeCell ref="A26:H26"/>
    <mergeCell ref="A27:C27"/>
    <mergeCell ref="A28:C28"/>
    <mergeCell ref="A29:C29"/>
    <mergeCell ref="A46:C46"/>
    <mergeCell ref="A31:D31"/>
    <mergeCell ref="A34:H34"/>
    <mergeCell ref="A35:C35"/>
    <mergeCell ref="A36:C36"/>
    <mergeCell ref="A37:C37"/>
    <mergeCell ref="A38:C38"/>
    <mergeCell ref="A41:H41"/>
    <mergeCell ref="A42:C42"/>
    <mergeCell ref="A43:C43"/>
    <mergeCell ref="A44:C44"/>
    <mergeCell ref="A45:C45"/>
    <mergeCell ref="A49:G49"/>
    <mergeCell ref="A55:D55"/>
    <mergeCell ref="F55:H55"/>
    <mergeCell ref="A56:D56"/>
    <mergeCell ref="F56:H56"/>
  </mergeCells>
  <pageMargins left="0.7" right="0.7" top="0.75" bottom="0.75" header="0.3" footer="0.3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13017-D1FA-4DC3-A3C5-4B91C68BCC19}">
  <dimension ref="A1"/>
  <sheetViews>
    <sheetView workbookViewId="0">
      <selection activeCell="L56" sqref="L56"/>
    </sheetView>
  </sheetViews>
  <sheetFormatPr baseColWidth="10" defaultRowHeight="14.4"/>
  <sheetData/>
  <pageMargins left="0.7" right="0.7" top="0.75" bottom="0.75" header="0.3" footer="0.3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D1DF0-9C79-4FDB-B753-37B79AE52C37}">
  <dimension ref="A1"/>
  <sheetViews>
    <sheetView topLeftCell="A43" workbookViewId="0">
      <selection activeCell="M124" sqref="M124"/>
    </sheetView>
  </sheetViews>
  <sheetFormatPr baseColWidth="10" defaultRowHeight="14.4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66</vt:i4>
      </vt:variant>
      <vt:variant>
        <vt:lpstr>Rangos con nombre</vt:lpstr>
      </vt:variant>
      <vt:variant>
        <vt:i4>1</vt:i4>
      </vt:variant>
    </vt:vector>
  </HeadingPairs>
  <TitlesOfParts>
    <vt:vector size="67" baseType="lpstr">
      <vt:lpstr>LIST (3)</vt:lpstr>
      <vt:lpstr>LIST (2)</vt:lpstr>
      <vt:lpstr>PTA-015</vt:lpstr>
      <vt:lpstr>PTA-014</vt:lpstr>
      <vt:lpstr>PTA-013</vt:lpstr>
      <vt:lpstr>PTA-012</vt:lpstr>
      <vt:lpstr>PTA-011</vt:lpstr>
      <vt:lpstr>PTA-010</vt:lpstr>
      <vt:lpstr>PTA-009</vt:lpstr>
      <vt:lpstr>PTA-008</vt:lpstr>
      <vt:lpstr>AIU</vt:lpstr>
      <vt:lpstr>LIST</vt:lpstr>
      <vt:lpstr>REND</vt:lpstr>
      <vt:lpstr>EQUI</vt:lpstr>
      <vt:lpstr>TRANS</vt:lpstr>
      <vt:lpstr>INS</vt:lpstr>
      <vt:lpstr>MO</vt:lpstr>
      <vt:lpstr>MEMORIA DE CANTIDADES</vt:lpstr>
      <vt:lpstr>PTO</vt:lpstr>
      <vt:lpstr>PTA-007</vt:lpstr>
      <vt:lpstr>ELC-007</vt:lpstr>
      <vt:lpstr>ELC-006</vt:lpstr>
      <vt:lpstr>ELC-005</vt:lpstr>
      <vt:lpstr>ELC-004</vt:lpstr>
      <vt:lpstr>LF-001</vt:lpstr>
      <vt:lpstr>CIE-005</vt:lpstr>
      <vt:lpstr>CIE-004</vt:lpstr>
      <vt:lpstr>CIE-003</vt:lpstr>
      <vt:lpstr>CIE-002</vt:lpstr>
      <vt:lpstr>CIE-001</vt:lpstr>
      <vt:lpstr>HS-009</vt:lpstr>
      <vt:lpstr>HS-008</vt:lpstr>
      <vt:lpstr>HS-007</vt:lpstr>
      <vt:lpstr>HS-006</vt:lpstr>
      <vt:lpstr>HS-005</vt:lpstr>
      <vt:lpstr>HS-004</vt:lpstr>
      <vt:lpstr>HS-003</vt:lpstr>
      <vt:lpstr>HS-002</vt:lpstr>
      <vt:lpstr>HS-001</vt:lpstr>
      <vt:lpstr>ELC-003</vt:lpstr>
      <vt:lpstr>CMR-002</vt:lpstr>
      <vt:lpstr>CMR-001</vt:lpstr>
      <vt:lpstr>PTA-006</vt:lpstr>
      <vt:lpstr>PTA-005</vt:lpstr>
      <vt:lpstr>PTA-004</vt:lpstr>
      <vt:lpstr>PTA-003</vt:lpstr>
      <vt:lpstr>PTA-002</vt:lpstr>
      <vt:lpstr>PTA-001</vt:lpstr>
      <vt:lpstr>P-0013</vt:lpstr>
      <vt:lpstr>P-0012</vt:lpstr>
      <vt:lpstr>P-0011</vt:lpstr>
      <vt:lpstr>P-0010</vt:lpstr>
      <vt:lpstr>P-0009</vt:lpstr>
      <vt:lpstr>P-0008</vt:lpstr>
      <vt:lpstr>P-0007</vt:lpstr>
      <vt:lpstr>P-0006</vt:lpstr>
      <vt:lpstr>P-0005</vt:lpstr>
      <vt:lpstr>P-0004</vt:lpstr>
      <vt:lpstr>P-0003</vt:lpstr>
      <vt:lpstr>P-0002</vt:lpstr>
      <vt:lpstr>P-0001</vt:lpstr>
      <vt:lpstr>2.1 APU </vt:lpstr>
      <vt:lpstr>2.3 APU</vt:lpstr>
      <vt:lpstr>2.4 APU</vt:lpstr>
      <vt:lpstr>COT. IBA</vt:lpstr>
      <vt:lpstr>COT. RIO</vt:lpstr>
      <vt:lpstr>PTO!Área_de_impresión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weimar edilfer mendez palomino</dc:creator>
  <cp:lastModifiedBy>Miguel Andres Capera Hernandez</cp:lastModifiedBy>
  <cp:lastPrinted>2026-02-16T21:04:15Z</cp:lastPrinted>
  <dcterms:created xsi:type="dcterms:W3CDTF">2024-04-24T13:51:25Z</dcterms:created>
  <dcterms:modified xsi:type="dcterms:W3CDTF">2026-04-21T15:19:09Z</dcterms:modified>
</cp:coreProperties>
</file>