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 Cala\Downloads\"/>
    </mc:Choice>
  </mc:AlternateContent>
  <xr:revisionPtr revIDLastSave="0" documentId="8_{60B0779B-7A1D-4B2F-9D69-709D005409BD}" xr6:coauthVersionLast="47" xr6:coauthVersionMax="47" xr10:uidLastSave="{00000000-0000-0000-0000-000000000000}"/>
  <bookViews>
    <workbookView xWindow="-120" yWindow="-120" windowWidth="20730" windowHeight="11040" tabRatio="913" firstSheet="15" activeTab="15" xr2:uid="{00000000-000D-0000-FFFF-FFFF00000000}"/>
  </bookViews>
  <sheets>
    <sheet name="RESUMEN " sheetId="19" r:id="rId1"/>
    <sheet name="agosto2026" sheetId="12" r:id="rId2"/>
    <sheet name="septiembre2026" sheetId="13" r:id="rId3"/>
    <sheet name="octubre2026" sheetId="14" r:id="rId4"/>
    <sheet name="noviembre2026" sheetId="15" r:id="rId5"/>
    <sheet name="diciembre2026" sheetId="16" r:id="rId6"/>
    <sheet name="MONITOREO " sheetId="25" r:id="rId7"/>
    <sheet name="MTO ALARMAS " sheetId="27" r:id="rId8"/>
    <sheet name="ADQUISICION  ALARMAS " sheetId="35" r:id="rId9"/>
    <sheet name="ESTUDIO DE MERCADO_SEGURO" sheetId="36" r:id="rId10"/>
    <sheet name="Cotizacion No.1_Laos " sheetId="28" r:id="rId11"/>
    <sheet name="Cotizacion No.2 Record " sheetId="30" r:id="rId12"/>
    <sheet name="Cotizacion No.3_Superior ." sheetId="32" r:id="rId13"/>
    <sheet name="Cotizacion No.4" sheetId="34" r:id="rId14"/>
    <sheet name="Estudio de Mercado " sheetId="29" r:id="rId15"/>
    <sheet name="Estudio de Mercado_Poda " sheetId="33" r:id="rId16"/>
  </sheets>
  <definedNames>
    <definedName name="_xlnm._FilterDatabase" localSheetId="1" hidden="1">agosto2026!$A$11:$V$41</definedName>
    <definedName name="_xlnm._FilterDatabase" localSheetId="5" hidden="1">diciembre2026!$A$11:$V$41</definedName>
    <definedName name="_xlnm._FilterDatabase" localSheetId="7" hidden="1">'MTO ALARMAS '!$B$2:$F$34</definedName>
    <definedName name="_xlnm._FilterDatabase" localSheetId="4" hidden="1">noviembre2026!$A$11:$V$41</definedName>
    <definedName name="_xlnm._FilterDatabase" localSheetId="3" hidden="1">octubre2026!$A$11:$V$41</definedName>
    <definedName name="_xlnm._FilterDatabase" localSheetId="2" hidden="1">septiembre2026!$A$11:$V$41</definedName>
    <definedName name="_xlnm.Print_Area" localSheetId="6">'MONITOREO '!$A$1:$G$50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16" l="1"/>
  <c r="L19" i="16"/>
  <c r="K19" i="16"/>
  <c r="L18" i="16"/>
  <c r="K18" i="16"/>
  <c r="L17" i="16"/>
  <c r="K17" i="16"/>
  <c r="M17" i="16" s="1"/>
  <c r="L16" i="16"/>
  <c r="K16" i="16"/>
  <c r="G16" i="16"/>
  <c r="L15" i="16"/>
  <c r="K15" i="16"/>
  <c r="G15" i="16"/>
  <c r="L14" i="16"/>
  <c r="K14" i="16"/>
  <c r="G14" i="16"/>
  <c r="L13" i="16"/>
  <c r="K13" i="16"/>
  <c r="M13" i="16" s="1"/>
  <c r="L12" i="16"/>
  <c r="K12" i="16"/>
  <c r="L22" i="15"/>
  <c r="L19" i="15"/>
  <c r="K19" i="15"/>
  <c r="L18" i="15"/>
  <c r="K18" i="15"/>
  <c r="M18" i="15" s="1"/>
  <c r="L17" i="15"/>
  <c r="K17" i="15"/>
  <c r="M17" i="15" s="1"/>
  <c r="L16" i="15"/>
  <c r="K16" i="15"/>
  <c r="G16" i="15"/>
  <c r="L15" i="15"/>
  <c r="K15" i="15"/>
  <c r="G15" i="15"/>
  <c r="L14" i="15"/>
  <c r="K14" i="15"/>
  <c r="G14" i="15"/>
  <c r="L13" i="15"/>
  <c r="K13" i="15"/>
  <c r="M13" i="15" s="1"/>
  <c r="L12" i="15"/>
  <c r="K12" i="15"/>
  <c r="L22" i="14"/>
  <c r="L22" i="13"/>
  <c r="L19" i="14"/>
  <c r="K19" i="14"/>
  <c r="L18" i="14"/>
  <c r="K18" i="14"/>
  <c r="M18" i="14" s="1"/>
  <c r="L17" i="14"/>
  <c r="K17" i="14"/>
  <c r="M17" i="14" s="1"/>
  <c r="L16" i="14"/>
  <c r="K16" i="14"/>
  <c r="G16" i="14"/>
  <c r="L15" i="14"/>
  <c r="K15" i="14"/>
  <c r="G15" i="14"/>
  <c r="L14" i="14"/>
  <c r="K14" i="14"/>
  <c r="G14" i="14"/>
  <c r="L13" i="14"/>
  <c r="K13" i="14"/>
  <c r="M13" i="14" s="1"/>
  <c r="L12" i="14"/>
  <c r="K12" i="14"/>
  <c r="L19" i="13"/>
  <c r="K19" i="13"/>
  <c r="L18" i="13"/>
  <c r="K18" i="13"/>
  <c r="L17" i="13"/>
  <c r="K17" i="13"/>
  <c r="M17" i="13" s="1"/>
  <c r="L16" i="13"/>
  <c r="K16" i="13"/>
  <c r="G16" i="13"/>
  <c r="L15" i="13"/>
  <c r="K15" i="13"/>
  <c r="G15" i="13"/>
  <c r="L14" i="13"/>
  <c r="K14" i="13"/>
  <c r="G14" i="13"/>
  <c r="L13" i="13"/>
  <c r="K13" i="13"/>
  <c r="M13" i="13" s="1"/>
  <c r="L12" i="13"/>
  <c r="K12" i="13"/>
  <c r="L22" i="12"/>
  <c r="N19" i="12"/>
  <c r="L19" i="12"/>
  <c r="K19" i="12"/>
  <c r="M19" i="12" s="1"/>
  <c r="N18" i="12"/>
  <c r="L18" i="12"/>
  <c r="K18" i="12"/>
  <c r="M18" i="12" s="1"/>
  <c r="N17" i="12"/>
  <c r="L17" i="12"/>
  <c r="K17" i="12"/>
  <c r="M17" i="12" s="1"/>
  <c r="N16" i="12"/>
  <c r="L16" i="12"/>
  <c r="K16" i="12"/>
  <c r="G16" i="12"/>
  <c r="N15" i="12"/>
  <c r="L15" i="12"/>
  <c r="K15" i="12"/>
  <c r="G15" i="12"/>
  <c r="N14" i="12"/>
  <c r="L14" i="12"/>
  <c r="K14" i="12"/>
  <c r="G14" i="12"/>
  <c r="N13" i="12"/>
  <c r="L13" i="12"/>
  <c r="K13" i="12"/>
  <c r="N12" i="12"/>
  <c r="L12" i="12"/>
  <c r="K12" i="12"/>
  <c r="M8" i="36"/>
  <c r="N8" i="36"/>
  <c r="O8" i="36"/>
  <c r="M9" i="36"/>
  <c r="N9" i="36"/>
  <c r="O9" i="36"/>
  <c r="M10" i="36"/>
  <c r="N10" i="36"/>
  <c r="O10" i="36"/>
  <c r="M11" i="36"/>
  <c r="N11" i="36"/>
  <c r="O11" i="36"/>
  <c r="M12" i="36"/>
  <c r="N12" i="36"/>
  <c r="O12" i="36"/>
  <c r="M13" i="36"/>
  <c r="N13" i="36"/>
  <c r="O13" i="36"/>
  <c r="M14" i="36"/>
  <c r="N14" i="36"/>
  <c r="O14" i="36"/>
  <c r="M15" i="36"/>
  <c r="N15" i="36"/>
  <c r="O15" i="36"/>
  <c r="M16" i="36"/>
  <c r="N16" i="36"/>
  <c r="O16" i="36"/>
  <c r="M17" i="36"/>
  <c r="N17" i="36"/>
  <c r="O17" i="36"/>
  <c r="M18" i="36"/>
  <c r="N18" i="36"/>
  <c r="O18" i="36"/>
  <c r="M19" i="36"/>
  <c r="N19" i="36"/>
  <c r="O19" i="36"/>
  <c r="M20" i="36"/>
  <c r="N20" i="36"/>
  <c r="O20" i="36"/>
  <c r="M21" i="36"/>
  <c r="N21" i="36"/>
  <c r="O21" i="36"/>
  <c r="M22" i="36"/>
  <c r="N22" i="36"/>
  <c r="O22" i="36"/>
  <c r="M23" i="36"/>
  <c r="N23" i="36"/>
  <c r="O23" i="36"/>
  <c r="M24" i="36"/>
  <c r="N24" i="36"/>
  <c r="O24" i="36"/>
  <c r="M25" i="36"/>
  <c r="N25" i="36"/>
  <c r="O25" i="36"/>
  <c r="M26" i="36"/>
  <c r="N26" i="36"/>
  <c r="O26" i="36"/>
  <c r="M27" i="36"/>
  <c r="N27" i="36"/>
  <c r="O27" i="36"/>
  <c r="M28" i="36"/>
  <c r="N28" i="36"/>
  <c r="O28" i="36"/>
  <c r="M29" i="36"/>
  <c r="N29" i="36"/>
  <c r="O29" i="36"/>
  <c r="M30" i="36"/>
  <c r="N30" i="36"/>
  <c r="O30" i="36"/>
  <c r="M31" i="36"/>
  <c r="N31" i="36"/>
  <c r="O31" i="36"/>
  <c r="M32" i="36"/>
  <c r="N32" i="36"/>
  <c r="O32" i="36"/>
  <c r="M33" i="36"/>
  <c r="N33" i="36"/>
  <c r="O33" i="36"/>
  <c r="M34" i="36"/>
  <c r="N34" i="36"/>
  <c r="O34" i="36"/>
  <c r="M35" i="36"/>
  <c r="N35" i="36"/>
  <c r="O35" i="36"/>
  <c r="O7" i="36"/>
  <c r="N7" i="36"/>
  <c r="M7" i="36"/>
  <c r="H35" i="36"/>
  <c r="F35" i="36"/>
  <c r="H34" i="36"/>
  <c r="F34" i="36"/>
  <c r="H33" i="36"/>
  <c r="F33" i="36"/>
  <c r="H32" i="36"/>
  <c r="F32" i="36"/>
  <c r="H31" i="36"/>
  <c r="F31" i="36"/>
  <c r="H30" i="36"/>
  <c r="F30" i="36"/>
  <c r="H29" i="36"/>
  <c r="F29" i="36"/>
  <c r="H28" i="36"/>
  <c r="F28" i="36"/>
  <c r="H27" i="36"/>
  <c r="F27" i="36"/>
  <c r="H26" i="36"/>
  <c r="F26" i="36"/>
  <c r="H25" i="36"/>
  <c r="F25" i="36"/>
  <c r="H24" i="36"/>
  <c r="F24" i="36"/>
  <c r="H23" i="36"/>
  <c r="F23" i="36"/>
  <c r="H22" i="36"/>
  <c r="F22" i="36"/>
  <c r="H21" i="36"/>
  <c r="F21" i="36"/>
  <c r="H20" i="36"/>
  <c r="F20" i="36"/>
  <c r="H19" i="36"/>
  <c r="F19" i="36"/>
  <c r="H18" i="36"/>
  <c r="F18" i="36"/>
  <c r="H17" i="36"/>
  <c r="F17" i="36"/>
  <c r="H16" i="36"/>
  <c r="F16" i="36"/>
  <c r="H15" i="36"/>
  <c r="F15" i="36"/>
  <c r="H13" i="36"/>
  <c r="H12" i="36"/>
  <c r="H11" i="36"/>
  <c r="F11" i="36"/>
  <c r="H10" i="36"/>
  <c r="F10" i="36"/>
  <c r="H9" i="36"/>
  <c r="F9" i="36"/>
  <c r="H8" i="36"/>
  <c r="F8" i="36"/>
  <c r="H7" i="36"/>
  <c r="F7" i="36"/>
  <c r="M16" i="13" l="1"/>
  <c r="M12" i="13"/>
  <c r="O12" i="12"/>
  <c r="O15" i="12"/>
  <c r="O16" i="12"/>
  <c r="O17" i="12"/>
  <c r="O18" i="12"/>
  <c r="O19" i="12"/>
  <c r="M16" i="12"/>
  <c r="M14" i="12"/>
  <c r="M13" i="12"/>
  <c r="M12" i="12"/>
  <c r="M12" i="15"/>
  <c r="M19" i="14"/>
  <c r="M16" i="14"/>
  <c r="M12" i="14"/>
  <c r="M18" i="13"/>
  <c r="O14" i="12"/>
  <c r="M15" i="12"/>
  <c r="M19" i="16"/>
  <c r="M18" i="16"/>
  <c r="M16" i="16"/>
  <c r="M15" i="16"/>
  <c r="M14" i="16"/>
  <c r="M12" i="16"/>
  <c r="M19" i="15"/>
  <c r="M16" i="15"/>
  <c r="M15" i="15"/>
  <c r="M14" i="15"/>
  <c r="M15" i="14"/>
  <c r="M14" i="14"/>
  <c r="M19" i="13"/>
  <c r="M15" i="13"/>
  <c r="M14" i="13"/>
  <c r="O13" i="12"/>
  <c r="O12" i="16"/>
  <c r="O12" i="15"/>
  <c r="O12" i="14"/>
  <c r="O12" i="13"/>
  <c r="O40" i="12"/>
  <c r="O40" i="16"/>
  <c r="O40" i="15"/>
  <c r="O40" i="14"/>
  <c r="O40" i="13"/>
  <c r="O39" i="12"/>
  <c r="O39" i="16"/>
  <c r="O39" i="15"/>
  <c r="O39" i="14"/>
  <c r="O39" i="13"/>
  <c r="O38" i="12"/>
  <c r="O38" i="16"/>
  <c r="O38" i="15"/>
  <c r="O38" i="14"/>
  <c r="O38" i="13"/>
  <c r="O37" i="12"/>
  <c r="O37" i="16"/>
  <c r="O37" i="15"/>
  <c r="O37" i="14"/>
  <c r="O37" i="13"/>
  <c r="O36" i="12"/>
  <c r="O36" i="16"/>
  <c r="O36" i="15"/>
  <c r="O36" i="14"/>
  <c r="O36" i="13"/>
  <c r="O35" i="12"/>
  <c r="O35" i="16"/>
  <c r="O35" i="15"/>
  <c r="O35" i="14"/>
  <c r="O35" i="13"/>
  <c r="O34" i="12"/>
  <c r="O34" i="16"/>
  <c r="O34" i="15"/>
  <c r="O34" i="14"/>
  <c r="O34" i="13"/>
  <c r="O33" i="12"/>
  <c r="O33" i="16"/>
  <c r="O33" i="15"/>
  <c r="O33" i="14"/>
  <c r="O33" i="13"/>
  <c r="O32" i="12"/>
  <c r="O32" i="16"/>
  <c r="O32" i="15"/>
  <c r="O32" i="14"/>
  <c r="O32" i="13"/>
  <c r="O31" i="12"/>
  <c r="O31" i="16"/>
  <c r="O31" i="15"/>
  <c r="O31" i="14"/>
  <c r="O31" i="13"/>
  <c r="O30" i="12"/>
  <c r="O30" i="16"/>
  <c r="O30" i="15"/>
  <c r="O30" i="14"/>
  <c r="O30" i="13"/>
  <c r="O29" i="12"/>
  <c r="O29" i="16"/>
  <c r="O29" i="15"/>
  <c r="O29" i="14"/>
  <c r="O29" i="13"/>
  <c r="O28" i="12"/>
  <c r="O28" i="16"/>
  <c r="O28" i="15"/>
  <c r="O28" i="14"/>
  <c r="O28" i="13"/>
  <c r="O27" i="12"/>
  <c r="O27" i="16"/>
  <c r="O27" i="15"/>
  <c r="O27" i="14"/>
  <c r="O27" i="13"/>
  <c r="O26" i="12"/>
  <c r="O26" i="16"/>
  <c r="O26" i="15"/>
  <c r="O26" i="14"/>
  <c r="O26" i="13"/>
  <c r="O25" i="12"/>
  <c r="O25" i="16"/>
  <c r="O25" i="15"/>
  <c r="O25" i="14"/>
  <c r="O25" i="13"/>
  <c r="O24" i="12"/>
  <c r="O24" i="16"/>
  <c r="O24" i="15"/>
  <c r="O24" i="14"/>
  <c r="O24" i="13"/>
  <c r="O23" i="12"/>
  <c r="O23" i="16"/>
  <c r="O23" i="15"/>
  <c r="O23" i="14"/>
  <c r="O23" i="13"/>
  <c r="O22" i="12"/>
  <c r="O22" i="16"/>
  <c r="O22" i="15"/>
  <c r="O22" i="14"/>
  <c r="O22" i="13"/>
  <c r="O21" i="12"/>
  <c r="O21" i="16"/>
  <c r="O21" i="15"/>
  <c r="O21" i="14"/>
  <c r="O21" i="13"/>
  <c r="O20" i="12"/>
  <c r="O20" i="16"/>
  <c r="O20" i="15"/>
  <c r="O20" i="14"/>
  <c r="O20" i="13"/>
  <c r="O19" i="16"/>
  <c r="O19" i="15"/>
  <c r="O19" i="14"/>
  <c r="O19" i="13"/>
  <c r="O18" i="16"/>
  <c r="O18" i="15"/>
  <c r="O18" i="14"/>
  <c r="O18" i="13"/>
  <c r="O17" i="16"/>
  <c r="O17" i="15"/>
  <c r="O17" i="14"/>
  <c r="O17" i="13"/>
  <c r="O16" i="16"/>
  <c r="O16" i="15"/>
  <c r="O16" i="14"/>
  <c r="O16" i="13"/>
  <c r="O15" i="16"/>
  <c r="O15" i="15"/>
  <c r="O15" i="14"/>
  <c r="O15" i="13"/>
  <c r="O14" i="16"/>
  <c r="O14" i="15"/>
  <c r="O14" i="14"/>
  <c r="O14" i="13"/>
  <c r="O13" i="16"/>
  <c r="O13" i="15"/>
  <c r="O13" i="14"/>
  <c r="O13" i="13"/>
  <c r="D34" i="27"/>
  <c r="F6" i="34"/>
  <c r="F7" i="34"/>
  <c r="F5" i="34"/>
  <c r="F8" i="34"/>
  <c r="J10" i="33"/>
  <c r="G10" i="33"/>
  <c r="D10" i="33"/>
  <c r="K9" i="33"/>
  <c r="L9" i="33" s="1"/>
  <c r="E9" i="33"/>
  <c r="F9" i="33" s="1"/>
  <c r="K8" i="33"/>
  <c r="L8" i="33" s="1"/>
  <c r="H8" i="33"/>
  <c r="I8" i="33" s="1"/>
  <c r="K7" i="33"/>
  <c r="L7" i="33" s="1"/>
  <c r="H7" i="33"/>
  <c r="I7" i="33" s="1"/>
  <c r="E7" i="33"/>
  <c r="F7" i="33" s="1"/>
  <c r="K6" i="33"/>
  <c r="H6" i="33"/>
  <c r="E6" i="33"/>
  <c r="F6" i="33" s="1"/>
  <c r="M9" i="33" l="1"/>
  <c r="N9" i="33" s="1"/>
  <c r="M9" i="29"/>
  <c r="N9" i="29" s="1"/>
  <c r="M6" i="33"/>
  <c r="M6" i="29"/>
  <c r="M8" i="33"/>
  <c r="N8" i="33" s="1"/>
  <c r="M8" i="29"/>
  <c r="N8" i="29" s="1"/>
  <c r="M7" i="33"/>
  <c r="N7" i="33" s="1"/>
  <c r="M7" i="29"/>
  <c r="N7" i="29" s="1"/>
  <c r="O7" i="33"/>
  <c r="H6" i="34"/>
  <c r="I6" i="34" s="1"/>
  <c r="O8" i="29"/>
  <c r="H7" i="34"/>
  <c r="I7" i="34" s="1"/>
  <c r="H5" i="34"/>
  <c r="H10" i="33"/>
  <c r="I6" i="33"/>
  <c r="K10" i="33"/>
  <c r="L6" i="33"/>
  <c r="S8" i="33"/>
  <c r="R8" i="33"/>
  <c r="X8" i="33" s="1"/>
  <c r="B3" i="35" s="1"/>
  <c r="D3" i="35" s="1"/>
  <c r="Q8" i="33"/>
  <c r="P8" i="33"/>
  <c r="S9" i="33"/>
  <c r="R9" i="33"/>
  <c r="X9" i="33" s="1"/>
  <c r="B4" i="35" s="1"/>
  <c r="D4" i="35" s="1"/>
  <c r="Q9" i="33"/>
  <c r="P9" i="33"/>
  <c r="O6" i="33"/>
  <c r="O6" i="29"/>
  <c r="O7" i="29"/>
  <c r="F9" i="34"/>
  <c r="E9" i="34"/>
  <c r="F10" i="33"/>
  <c r="E10" i="33"/>
  <c r="N6" i="29" l="1"/>
  <c r="N10" i="29" s="1"/>
  <c r="M10" i="29"/>
  <c r="N6" i="33"/>
  <c r="N10" i="33" s="1"/>
  <c r="M10" i="33"/>
  <c r="P7" i="33"/>
  <c r="T7" i="33" s="1"/>
  <c r="R7" i="33"/>
  <c r="X7" i="33" s="1"/>
  <c r="Q7" i="33"/>
  <c r="P6" i="33"/>
  <c r="V6" i="33" s="1"/>
  <c r="W7" i="33"/>
  <c r="O10" i="33"/>
  <c r="R6" i="33"/>
  <c r="S7" i="33"/>
  <c r="I5" i="34"/>
  <c r="U7" i="33"/>
  <c r="S6" i="33"/>
  <c r="D5" i="35"/>
  <c r="C20" i="19" s="1"/>
  <c r="E20" i="19" s="1"/>
  <c r="L10" i="33"/>
  <c r="Q6" i="33"/>
  <c r="I10" i="33"/>
  <c r="V7" i="33"/>
  <c r="E28" i="25"/>
  <c r="F28" i="25" s="1"/>
  <c r="E22" i="25"/>
  <c r="F22" i="25" s="1"/>
  <c r="W8" i="33"/>
  <c r="V9" i="33"/>
  <c r="V8" i="33"/>
  <c r="U8" i="33"/>
  <c r="T9" i="33"/>
  <c r="E16" i="25" l="1"/>
  <c r="F16" i="25" s="1"/>
  <c r="E10" i="25"/>
  <c r="F10" i="25" s="1"/>
  <c r="E27" i="25"/>
  <c r="F27" i="25" s="1"/>
  <c r="E21" i="25"/>
  <c r="F21" i="25" s="1"/>
  <c r="E15" i="25"/>
  <c r="F15" i="25" s="1"/>
  <c r="E9" i="25"/>
  <c r="F9" i="25" s="1"/>
  <c r="E6" i="25"/>
  <c r="E26" i="25"/>
  <c r="F26" i="25" s="1"/>
  <c r="E20" i="25"/>
  <c r="F20" i="25" s="1"/>
  <c r="E14" i="25"/>
  <c r="F14" i="25" s="1"/>
  <c r="E31" i="25"/>
  <c r="F31" i="25" s="1"/>
  <c r="E25" i="25"/>
  <c r="F25" i="25" s="1"/>
  <c r="E19" i="25"/>
  <c r="F19" i="25" s="1"/>
  <c r="E13" i="25"/>
  <c r="F13" i="25" s="1"/>
  <c r="E30" i="25"/>
  <c r="F30" i="25" s="1"/>
  <c r="E24" i="25"/>
  <c r="F24" i="25" s="1"/>
  <c r="E18" i="25"/>
  <c r="F18" i="25" s="1"/>
  <c r="E12" i="25"/>
  <c r="F12" i="25" s="1"/>
  <c r="E29" i="25"/>
  <c r="F29" i="25" s="1"/>
  <c r="E23" i="25"/>
  <c r="F23" i="25" s="1"/>
  <c r="E17" i="25"/>
  <c r="F17" i="25" s="1"/>
  <c r="E11" i="25"/>
  <c r="F11" i="25" s="1"/>
  <c r="P10" i="33"/>
  <c r="U6" i="33"/>
  <c r="T6" i="33"/>
  <c r="W6" i="33"/>
  <c r="X6" i="33"/>
  <c r="R10" i="33"/>
  <c r="X10" i="33" s="1"/>
  <c r="E26" i="27"/>
  <c r="E28" i="27"/>
  <c r="J5" i="34"/>
  <c r="E11" i="27"/>
  <c r="Q10" i="33"/>
  <c r="E12" i="27"/>
  <c r="E29" i="27"/>
  <c r="E23" i="27"/>
  <c r="E17" i="27"/>
  <c r="E37" i="25"/>
  <c r="C18" i="19" s="1"/>
  <c r="E38" i="25" l="1"/>
  <c r="D18" i="19" s="1"/>
  <c r="E15" i="27"/>
  <c r="E32" i="27"/>
  <c r="E20" i="27"/>
  <c r="E14" i="27"/>
  <c r="E31" i="27"/>
  <c r="E25" i="27"/>
  <c r="E19" i="27"/>
  <c r="E13" i="27"/>
  <c r="E30" i="27"/>
  <c r="E22" i="27"/>
  <c r="E16" i="27"/>
  <c r="E33" i="27"/>
  <c r="E27" i="27"/>
  <c r="E21" i="27"/>
  <c r="E18" i="27"/>
  <c r="E24" i="27"/>
  <c r="E41" i="27"/>
  <c r="D19" i="19" s="1"/>
  <c r="O10" i="29"/>
  <c r="J10" i="29"/>
  <c r="K9" i="29"/>
  <c r="L9" i="29" s="1"/>
  <c r="K8" i="29"/>
  <c r="L8" i="29" s="1"/>
  <c r="K7" i="29"/>
  <c r="L7" i="29" s="1"/>
  <c r="K6" i="29"/>
  <c r="L6" i="29" s="1"/>
  <c r="E9" i="32"/>
  <c r="F8" i="32"/>
  <c r="G8" i="32" s="1"/>
  <c r="F7" i="32"/>
  <c r="G7" i="32" s="1"/>
  <c r="F6" i="32"/>
  <c r="G6" i="32" s="1"/>
  <c r="F5" i="32"/>
  <c r="G10" i="29"/>
  <c r="D10" i="29"/>
  <c r="H9" i="29"/>
  <c r="I9" i="29" s="1"/>
  <c r="H8" i="29"/>
  <c r="I8" i="29" s="1"/>
  <c r="H7" i="29"/>
  <c r="I7" i="29" s="1"/>
  <c r="H6" i="29"/>
  <c r="I6" i="29" s="1"/>
  <c r="E9" i="29"/>
  <c r="F9" i="29" s="1"/>
  <c r="E8" i="29"/>
  <c r="F8" i="29" s="1"/>
  <c r="E7" i="29"/>
  <c r="F7" i="29" s="1"/>
  <c r="P7" i="29" s="1"/>
  <c r="E6" i="29"/>
  <c r="E18" i="19" l="1"/>
  <c r="E34" i="27"/>
  <c r="E40" i="27"/>
  <c r="C19" i="19" s="1"/>
  <c r="C21" i="19" s="1"/>
  <c r="P9" i="29"/>
  <c r="I10" i="29"/>
  <c r="D21" i="19"/>
  <c r="Q8" i="29"/>
  <c r="P8" i="29"/>
  <c r="F6" i="29"/>
  <c r="E10" i="29"/>
  <c r="S7" i="29"/>
  <c r="R7" i="29"/>
  <c r="Q7" i="29"/>
  <c r="S8" i="29"/>
  <c r="R8" i="29"/>
  <c r="S9" i="29"/>
  <c r="R9" i="29"/>
  <c r="Q9" i="29"/>
  <c r="T9" i="29"/>
  <c r="U9" i="29"/>
  <c r="F9" i="32"/>
  <c r="G5" i="32"/>
  <c r="L10" i="29"/>
  <c r="V9" i="29"/>
  <c r="U7" i="29"/>
  <c r="W7" i="29"/>
  <c r="V7" i="29"/>
  <c r="T7" i="29"/>
  <c r="K10" i="29"/>
  <c r="H10" i="29"/>
  <c r="E19" i="19" l="1"/>
  <c r="E21" i="19"/>
  <c r="T8" i="29"/>
  <c r="V8" i="29"/>
  <c r="U8" i="29"/>
  <c r="W8" i="29"/>
  <c r="G9" i="32"/>
  <c r="P6" i="29"/>
  <c r="S6" i="29"/>
  <c r="F10" i="29"/>
  <c r="R6" i="29"/>
  <c r="R10" i="29" s="1"/>
  <c r="Q6" i="29"/>
  <c r="Q10" i="29" s="1"/>
  <c r="E9" i="30"/>
  <c r="F8" i="30"/>
  <c r="G8" i="30" s="1"/>
  <c r="F7" i="30"/>
  <c r="G7" i="30" s="1"/>
  <c r="F6" i="30"/>
  <c r="G6" i="30" s="1"/>
  <c r="F5" i="30"/>
  <c r="F9" i="30" s="1"/>
  <c r="U6" i="29" l="1"/>
  <c r="V6" i="29"/>
  <c r="T6" i="29"/>
  <c r="W6" i="29"/>
  <c r="P10" i="29"/>
  <c r="G5" i="30"/>
  <c r="G9" i="30" s="1"/>
  <c r="E9" i="28" l="1"/>
  <c r="F8" i="28"/>
  <c r="G8" i="28" s="1"/>
  <c r="F7" i="28"/>
  <c r="G7" i="28" s="1"/>
  <c r="F6" i="28"/>
  <c r="G6" i="28" s="1"/>
  <c r="F5" i="28"/>
  <c r="F9" i="28" s="1"/>
  <c r="G5" i="28" l="1"/>
  <c r="G9" i="28" s="1"/>
  <c r="E42" i="27" l="1"/>
  <c r="E39" i="25" l="1"/>
  <c r="F39" i="25" l="1"/>
  <c r="X40" i="16" l="1"/>
  <c r="Y40" i="16" s="1"/>
  <c r="X39" i="16"/>
  <c r="Y39" i="16" s="1"/>
  <c r="X38" i="16"/>
  <c r="Y38" i="16" s="1"/>
  <c r="X37" i="16"/>
  <c r="Y37" i="16" s="1"/>
  <c r="X36" i="16"/>
  <c r="Y36" i="16" s="1"/>
  <c r="X35" i="16"/>
  <c r="Y35" i="16" s="1"/>
  <c r="X34" i="16"/>
  <c r="Y34" i="16" s="1"/>
  <c r="X33" i="16"/>
  <c r="Y33" i="16" s="1"/>
  <c r="X32" i="16"/>
  <c r="Y32" i="16" s="1"/>
  <c r="X31" i="16"/>
  <c r="Y31" i="16" s="1"/>
  <c r="X30" i="16"/>
  <c r="Y30" i="16" s="1"/>
  <c r="X29" i="16"/>
  <c r="Y29" i="16" s="1"/>
  <c r="X28" i="16"/>
  <c r="Y28" i="16" s="1"/>
  <c r="X27" i="16"/>
  <c r="Y27" i="16" s="1"/>
  <c r="X26" i="16"/>
  <c r="Y26" i="16" s="1"/>
  <c r="X25" i="16"/>
  <c r="Y25" i="16" s="1"/>
  <c r="X24" i="16"/>
  <c r="Y24" i="16" s="1"/>
  <c r="X23" i="16"/>
  <c r="Y23" i="16" s="1"/>
  <c r="X22" i="16"/>
  <c r="Y22" i="16" s="1"/>
  <c r="X21" i="16"/>
  <c r="Y21" i="16" s="1"/>
  <c r="X20" i="16"/>
  <c r="Y20" i="16" s="1"/>
  <c r="X19" i="16"/>
  <c r="Y19" i="16" s="1"/>
  <c r="X18" i="16"/>
  <c r="Y18" i="16" s="1"/>
  <c r="X17" i="16"/>
  <c r="Y17" i="16" s="1"/>
  <c r="X16" i="16"/>
  <c r="Y16" i="16" s="1"/>
  <c r="X15" i="16"/>
  <c r="Y15" i="16" s="1"/>
  <c r="X14" i="16"/>
  <c r="Y14" i="16" s="1"/>
  <c r="X13" i="16"/>
  <c r="Y13" i="16" s="1"/>
  <c r="X12" i="16"/>
  <c r="Y12" i="16" s="1"/>
  <c r="X40" i="15"/>
  <c r="X39" i="15"/>
  <c r="X38" i="15"/>
  <c r="X37" i="15"/>
  <c r="X36" i="15"/>
  <c r="X35" i="15"/>
  <c r="X34" i="15"/>
  <c r="X33" i="15"/>
  <c r="X32" i="15"/>
  <c r="X31" i="15"/>
  <c r="X30" i="15"/>
  <c r="X29" i="15"/>
  <c r="X28" i="15"/>
  <c r="X27" i="15"/>
  <c r="X26" i="15"/>
  <c r="X25" i="15"/>
  <c r="X24" i="15"/>
  <c r="X23" i="15"/>
  <c r="X22" i="15"/>
  <c r="X21" i="15"/>
  <c r="X20" i="15"/>
  <c r="X19" i="15"/>
  <c r="X18" i="15"/>
  <c r="X17" i="15"/>
  <c r="X16" i="15"/>
  <c r="X15" i="15"/>
  <c r="X14" i="15"/>
  <c r="X13" i="15"/>
  <c r="X12" i="15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1" i="14"/>
  <c r="X32" i="14"/>
  <c r="X33" i="14"/>
  <c r="X34" i="14"/>
  <c r="X35" i="14"/>
  <c r="X36" i="14"/>
  <c r="X37" i="14"/>
  <c r="X38" i="14"/>
  <c r="X39" i="14"/>
  <c r="X40" i="14"/>
  <c r="X40" i="13"/>
  <c r="X39" i="13"/>
  <c r="X38" i="13"/>
  <c r="X37" i="13"/>
  <c r="X36" i="13"/>
  <c r="X35" i="13"/>
  <c r="X34" i="13"/>
  <c r="X33" i="13"/>
  <c r="X32" i="13"/>
  <c r="X31" i="13"/>
  <c r="X30" i="13"/>
  <c r="X29" i="13"/>
  <c r="X28" i="13"/>
  <c r="X27" i="13"/>
  <c r="X26" i="13"/>
  <c r="X25" i="13"/>
  <c r="X24" i="13"/>
  <c r="X23" i="13"/>
  <c r="X22" i="13"/>
  <c r="X21" i="13"/>
  <c r="X20" i="13"/>
  <c r="X19" i="13"/>
  <c r="X18" i="13"/>
  <c r="X17" i="13"/>
  <c r="X16" i="13"/>
  <c r="X15" i="13"/>
  <c r="X14" i="13"/>
  <c r="X13" i="13"/>
  <c r="X12" i="13"/>
  <c r="L53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X40" i="12"/>
  <c r="X12" i="12"/>
  <c r="L53" i="14"/>
  <c r="O41" i="13"/>
  <c r="U53" i="12"/>
  <c r="O41" i="12"/>
  <c r="G39" i="13"/>
  <c r="I39" i="13"/>
  <c r="K39" i="13"/>
  <c r="L39" i="13"/>
  <c r="N39" i="13"/>
  <c r="M39" i="13" l="1"/>
  <c r="E35" i="19"/>
  <c r="P39" i="13" l="1"/>
  <c r="Q39" i="13" s="1"/>
  <c r="R39" i="13"/>
  <c r="S39" i="13" s="1"/>
  <c r="T39" i="13"/>
  <c r="E8" i="16" l="1"/>
  <c r="P54" i="16" l="1"/>
  <c r="P52" i="16"/>
  <c r="P51" i="16"/>
  <c r="O41" i="16"/>
  <c r="N40" i="16"/>
  <c r="L40" i="16"/>
  <c r="K40" i="16"/>
  <c r="I40" i="16"/>
  <c r="G40" i="16"/>
  <c r="N39" i="16"/>
  <c r="L39" i="16"/>
  <c r="K39" i="16"/>
  <c r="I39" i="16"/>
  <c r="G39" i="16"/>
  <c r="N38" i="16"/>
  <c r="L38" i="16"/>
  <c r="K38" i="16"/>
  <c r="I38" i="16"/>
  <c r="G38" i="16"/>
  <c r="N37" i="16"/>
  <c r="L37" i="16"/>
  <c r="K37" i="16"/>
  <c r="I37" i="16"/>
  <c r="G37" i="16"/>
  <c r="N36" i="16"/>
  <c r="L36" i="16"/>
  <c r="K36" i="16"/>
  <c r="I36" i="16"/>
  <c r="G36" i="16"/>
  <c r="N35" i="16"/>
  <c r="L35" i="16"/>
  <c r="K35" i="16"/>
  <c r="I35" i="16"/>
  <c r="G35" i="16"/>
  <c r="N34" i="16"/>
  <c r="L34" i="16"/>
  <c r="K34" i="16"/>
  <c r="I34" i="16"/>
  <c r="G34" i="16"/>
  <c r="N33" i="16"/>
  <c r="L33" i="16"/>
  <c r="K33" i="16"/>
  <c r="M33" i="16" s="1"/>
  <c r="I33" i="16"/>
  <c r="G33" i="16"/>
  <c r="N32" i="16"/>
  <c r="L32" i="16"/>
  <c r="K32" i="16"/>
  <c r="M32" i="16" s="1"/>
  <c r="I32" i="16"/>
  <c r="G32" i="16"/>
  <c r="N31" i="16"/>
  <c r="L31" i="16"/>
  <c r="K31" i="16"/>
  <c r="M31" i="16" s="1"/>
  <c r="I31" i="16"/>
  <c r="G31" i="16"/>
  <c r="N30" i="16"/>
  <c r="L30" i="16"/>
  <c r="K30" i="16"/>
  <c r="M30" i="16" s="1"/>
  <c r="I30" i="16"/>
  <c r="G30" i="16"/>
  <c r="N29" i="16"/>
  <c r="L29" i="16"/>
  <c r="K29" i="16"/>
  <c r="I29" i="16"/>
  <c r="G29" i="16"/>
  <c r="N28" i="16"/>
  <c r="L28" i="16"/>
  <c r="K28" i="16"/>
  <c r="I28" i="16"/>
  <c r="G28" i="16"/>
  <c r="N27" i="16"/>
  <c r="L27" i="16"/>
  <c r="K27" i="16"/>
  <c r="M27" i="16" s="1"/>
  <c r="I27" i="16"/>
  <c r="G27" i="16"/>
  <c r="N26" i="16"/>
  <c r="L26" i="16"/>
  <c r="K26" i="16"/>
  <c r="M26" i="16" s="1"/>
  <c r="I26" i="16"/>
  <c r="G26" i="16"/>
  <c r="N25" i="16"/>
  <c r="L25" i="16"/>
  <c r="K25" i="16"/>
  <c r="I25" i="16"/>
  <c r="G25" i="16"/>
  <c r="N24" i="16"/>
  <c r="L24" i="16"/>
  <c r="K24" i="16"/>
  <c r="I24" i="16"/>
  <c r="G24" i="16"/>
  <c r="N23" i="16"/>
  <c r="L23" i="16"/>
  <c r="K23" i="16"/>
  <c r="I23" i="16"/>
  <c r="G23" i="16"/>
  <c r="N22" i="16"/>
  <c r="K22" i="16"/>
  <c r="G22" i="16"/>
  <c r="N21" i="16"/>
  <c r="L21" i="16"/>
  <c r="K21" i="16"/>
  <c r="I21" i="16"/>
  <c r="G21" i="16"/>
  <c r="N20" i="16"/>
  <c r="L20" i="16"/>
  <c r="K20" i="16"/>
  <c r="M20" i="16" s="1"/>
  <c r="I20" i="16"/>
  <c r="G20" i="16"/>
  <c r="N19" i="16"/>
  <c r="N18" i="16"/>
  <c r="N17" i="16"/>
  <c r="N16" i="16"/>
  <c r="N15" i="16"/>
  <c r="N14" i="16"/>
  <c r="N13" i="16"/>
  <c r="N12" i="16"/>
  <c r="P54" i="15"/>
  <c r="P52" i="15"/>
  <c r="P51" i="15"/>
  <c r="N40" i="15"/>
  <c r="L40" i="15"/>
  <c r="K40" i="15"/>
  <c r="M40" i="15" s="1"/>
  <c r="I40" i="15"/>
  <c r="G40" i="15"/>
  <c r="N39" i="15"/>
  <c r="L39" i="15"/>
  <c r="K39" i="15"/>
  <c r="I39" i="15"/>
  <c r="G39" i="15"/>
  <c r="N38" i="15"/>
  <c r="L38" i="15"/>
  <c r="K38" i="15"/>
  <c r="I38" i="15"/>
  <c r="G38" i="15"/>
  <c r="N37" i="15"/>
  <c r="L37" i="15"/>
  <c r="K37" i="15"/>
  <c r="M37" i="15" s="1"/>
  <c r="I37" i="15"/>
  <c r="G37" i="15"/>
  <c r="N36" i="15"/>
  <c r="L36" i="15"/>
  <c r="K36" i="15"/>
  <c r="M36" i="15" s="1"/>
  <c r="I36" i="15"/>
  <c r="G36" i="15"/>
  <c r="N35" i="15"/>
  <c r="L35" i="15"/>
  <c r="K35" i="15"/>
  <c r="I35" i="15"/>
  <c r="G35" i="15"/>
  <c r="N34" i="15"/>
  <c r="L34" i="15"/>
  <c r="K34" i="15"/>
  <c r="I34" i="15"/>
  <c r="G34" i="15"/>
  <c r="N33" i="15"/>
  <c r="L33" i="15"/>
  <c r="K33" i="15"/>
  <c r="M33" i="15" s="1"/>
  <c r="I33" i="15"/>
  <c r="G33" i="15"/>
  <c r="N32" i="15"/>
  <c r="L32" i="15"/>
  <c r="K32" i="15"/>
  <c r="I32" i="15"/>
  <c r="G32" i="15"/>
  <c r="N31" i="15"/>
  <c r="L31" i="15"/>
  <c r="K31" i="15"/>
  <c r="M31" i="15" s="1"/>
  <c r="I31" i="15"/>
  <c r="G31" i="15"/>
  <c r="N30" i="15"/>
  <c r="L30" i="15"/>
  <c r="K30" i="15"/>
  <c r="M30" i="15" s="1"/>
  <c r="I30" i="15"/>
  <c r="G30" i="15"/>
  <c r="N29" i="15"/>
  <c r="L29" i="15"/>
  <c r="K29" i="15"/>
  <c r="I29" i="15"/>
  <c r="G29" i="15"/>
  <c r="N28" i="15"/>
  <c r="L28" i="15"/>
  <c r="K28" i="15"/>
  <c r="I28" i="15"/>
  <c r="G28" i="15"/>
  <c r="N27" i="15"/>
  <c r="L27" i="15"/>
  <c r="K27" i="15"/>
  <c r="I27" i="15"/>
  <c r="G27" i="15"/>
  <c r="N26" i="15"/>
  <c r="L26" i="15"/>
  <c r="K26" i="15"/>
  <c r="M26" i="15" s="1"/>
  <c r="I26" i="15"/>
  <c r="G26" i="15"/>
  <c r="N25" i="15"/>
  <c r="L25" i="15"/>
  <c r="K25" i="15"/>
  <c r="I25" i="15"/>
  <c r="G25" i="15"/>
  <c r="N24" i="15"/>
  <c r="L24" i="15"/>
  <c r="K24" i="15"/>
  <c r="M24" i="15" s="1"/>
  <c r="I24" i="15"/>
  <c r="G24" i="15"/>
  <c r="N23" i="15"/>
  <c r="L23" i="15"/>
  <c r="K23" i="15"/>
  <c r="M23" i="15" s="1"/>
  <c r="I23" i="15"/>
  <c r="G23" i="15"/>
  <c r="N22" i="15"/>
  <c r="K22" i="15"/>
  <c r="G22" i="15"/>
  <c r="N21" i="15"/>
  <c r="L21" i="15"/>
  <c r="K21" i="15"/>
  <c r="M21" i="15" s="1"/>
  <c r="I21" i="15"/>
  <c r="G21" i="15"/>
  <c r="N20" i="15"/>
  <c r="L20" i="15"/>
  <c r="K20" i="15"/>
  <c r="M20" i="15" s="1"/>
  <c r="I20" i="15"/>
  <c r="G20" i="15"/>
  <c r="N19" i="15"/>
  <c r="N18" i="15"/>
  <c r="N17" i="15"/>
  <c r="N16" i="15"/>
  <c r="N15" i="15"/>
  <c r="N14" i="15"/>
  <c r="N13" i="15"/>
  <c r="N12" i="15"/>
  <c r="E8" i="15"/>
  <c r="P54" i="14"/>
  <c r="P52" i="14"/>
  <c r="P51" i="14"/>
  <c r="N40" i="14"/>
  <c r="L40" i="14"/>
  <c r="K40" i="14"/>
  <c r="I40" i="14"/>
  <c r="G40" i="14"/>
  <c r="N39" i="14"/>
  <c r="L39" i="14"/>
  <c r="K39" i="14"/>
  <c r="M39" i="14" s="1"/>
  <c r="I39" i="14"/>
  <c r="G39" i="14"/>
  <c r="N38" i="14"/>
  <c r="L38" i="14"/>
  <c r="K38" i="14"/>
  <c r="M38" i="14" s="1"/>
  <c r="P38" i="14" s="1"/>
  <c r="I38" i="14"/>
  <c r="G38" i="14"/>
  <c r="N37" i="14"/>
  <c r="L37" i="14"/>
  <c r="K37" i="14"/>
  <c r="M37" i="14" s="1"/>
  <c r="P37" i="14" s="1"/>
  <c r="I37" i="14"/>
  <c r="G37" i="14"/>
  <c r="N36" i="14"/>
  <c r="L36" i="14"/>
  <c r="K36" i="14"/>
  <c r="I36" i="14"/>
  <c r="G36" i="14"/>
  <c r="N35" i="14"/>
  <c r="L35" i="14"/>
  <c r="K35" i="14"/>
  <c r="I35" i="14"/>
  <c r="G35" i="14"/>
  <c r="N34" i="14"/>
  <c r="L34" i="14"/>
  <c r="K34" i="14"/>
  <c r="I34" i="14"/>
  <c r="G34" i="14"/>
  <c r="N33" i="14"/>
  <c r="L33" i="14"/>
  <c r="K33" i="14"/>
  <c r="M33" i="14" s="1"/>
  <c r="P33" i="14" s="1"/>
  <c r="I33" i="14"/>
  <c r="G33" i="14"/>
  <c r="N32" i="14"/>
  <c r="L32" i="14"/>
  <c r="K32" i="14"/>
  <c r="M32" i="14" s="1"/>
  <c r="P32" i="14" s="1"/>
  <c r="I32" i="14"/>
  <c r="G32" i="14"/>
  <c r="N31" i="14"/>
  <c r="L31" i="14"/>
  <c r="K31" i="14"/>
  <c r="I31" i="14"/>
  <c r="G31" i="14"/>
  <c r="N30" i="14"/>
  <c r="L30" i="14"/>
  <c r="K30" i="14"/>
  <c r="I30" i="14"/>
  <c r="G30" i="14"/>
  <c r="N29" i="14"/>
  <c r="L29" i="14"/>
  <c r="K29" i="14"/>
  <c r="I29" i="14"/>
  <c r="G29" i="14"/>
  <c r="N28" i="14"/>
  <c r="L28" i="14"/>
  <c r="K28" i="14"/>
  <c r="I28" i="14"/>
  <c r="G28" i="14"/>
  <c r="N27" i="14"/>
  <c r="L27" i="14"/>
  <c r="K27" i="14"/>
  <c r="M27" i="14" s="1"/>
  <c r="P27" i="14" s="1"/>
  <c r="I27" i="14"/>
  <c r="G27" i="14"/>
  <c r="N26" i="14"/>
  <c r="L26" i="14"/>
  <c r="K26" i="14"/>
  <c r="I26" i="14"/>
  <c r="G26" i="14"/>
  <c r="N25" i="14"/>
  <c r="L25" i="14"/>
  <c r="K25" i="14"/>
  <c r="M25" i="14" s="1"/>
  <c r="P25" i="14" s="1"/>
  <c r="I25" i="14"/>
  <c r="G25" i="14"/>
  <c r="N24" i="14"/>
  <c r="L24" i="14"/>
  <c r="K24" i="14"/>
  <c r="M24" i="14" s="1"/>
  <c r="P24" i="14" s="1"/>
  <c r="I24" i="14"/>
  <c r="G24" i="14"/>
  <c r="N23" i="14"/>
  <c r="L23" i="14"/>
  <c r="K23" i="14"/>
  <c r="I23" i="14"/>
  <c r="G23" i="14"/>
  <c r="N22" i="14"/>
  <c r="K22" i="14"/>
  <c r="G22" i="14"/>
  <c r="N21" i="14"/>
  <c r="L21" i="14"/>
  <c r="K21" i="14"/>
  <c r="M21" i="14" s="1"/>
  <c r="P21" i="14" s="1"/>
  <c r="I21" i="14"/>
  <c r="G21" i="14"/>
  <c r="N20" i="14"/>
  <c r="L20" i="14"/>
  <c r="K20" i="14"/>
  <c r="M20" i="14" s="1"/>
  <c r="P20" i="14" s="1"/>
  <c r="I20" i="14"/>
  <c r="G20" i="14"/>
  <c r="N19" i="14"/>
  <c r="N18" i="14"/>
  <c r="N17" i="14"/>
  <c r="N16" i="14"/>
  <c r="N15" i="14"/>
  <c r="N14" i="14"/>
  <c r="N13" i="14"/>
  <c r="N12" i="14"/>
  <c r="E8" i="14"/>
  <c r="P54" i="13"/>
  <c r="P52" i="13"/>
  <c r="P51" i="13"/>
  <c r="N40" i="13"/>
  <c r="L40" i="13"/>
  <c r="K40" i="13"/>
  <c r="I40" i="13"/>
  <c r="G40" i="13"/>
  <c r="N38" i="13"/>
  <c r="L38" i="13"/>
  <c r="K38" i="13"/>
  <c r="I38" i="13"/>
  <c r="G38" i="13"/>
  <c r="N37" i="13"/>
  <c r="L37" i="13"/>
  <c r="K37" i="13"/>
  <c r="I37" i="13"/>
  <c r="G37" i="13"/>
  <c r="N36" i="13"/>
  <c r="L36" i="13"/>
  <c r="K36" i="13"/>
  <c r="I36" i="13"/>
  <c r="G36" i="13"/>
  <c r="N35" i="13"/>
  <c r="L35" i="13"/>
  <c r="K35" i="13"/>
  <c r="I35" i="13"/>
  <c r="G35" i="13"/>
  <c r="N34" i="13"/>
  <c r="L34" i="13"/>
  <c r="K34" i="13"/>
  <c r="M34" i="13" s="1"/>
  <c r="I34" i="13"/>
  <c r="G34" i="13"/>
  <c r="N33" i="13"/>
  <c r="L33" i="13"/>
  <c r="K33" i="13"/>
  <c r="I33" i="13"/>
  <c r="G33" i="13"/>
  <c r="N32" i="13"/>
  <c r="L32" i="13"/>
  <c r="K32" i="13"/>
  <c r="I32" i="13"/>
  <c r="G32" i="13"/>
  <c r="N31" i="13"/>
  <c r="L31" i="13"/>
  <c r="K31" i="13"/>
  <c r="I31" i="13"/>
  <c r="G31" i="13"/>
  <c r="N30" i="13"/>
  <c r="L30" i="13"/>
  <c r="K30" i="13"/>
  <c r="I30" i="13"/>
  <c r="G30" i="13"/>
  <c r="N29" i="13"/>
  <c r="L29" i="13"/>
  <c r="K29" i="13"/>
  <c r="M29" i="13" s="1"/>
  <c r="I29" i="13"/>
  <c r="G29" i="13"/>
  <c r="N28" i="13"/>
  <c r="L28" i="13"/>
  <c r="K28" i="13"/>
  <c r="I28" i="13"/>
  <c r="G28" i="13"/>
  <c r="N27" i="13"/>
  <c r="L27" i="13"/>
  <c r="K27" i="13"/>
  <c r="I27" i="13"/>
  <c r="G27" i="13"/>
  <c r="N26" i="13"/>
  <c r="L26" i="13"/>
  <c r="K26" i="13"/>
  <c r="I26" i="13"/>
  <c r="G26" i="13"/>
  <c r="N25" i="13"/>
  <c r="L25" i="13"/>
  <c r="K25" i="13"/>
  <c r="I25" i="13"/>
  <c r="G25" i="13"/>
  <c r="N24" i="13"/>
  <c r="L24" i="13"/>
  <c r="K24" i="13"/>
  <c r="I24" i="13"/>
  <c r="G24" i="13"/>
  <c r="N23" i="13"/>
  <c r="L23" i="13"/>
  <c r="K23" i="13"/>
  <c r="I23" i="13"/>
  <c r="G23" i="13"/>
  <c r="N22" i="13"/>
  <c r="K22" i="13"/>
  <c r="G22" i="13"/>
  <c r="N21" i="13"/>
  <c r="L21" i="13"/>
  <c r="K21" i="13"/>
  <c r="I21" i="13"/>
  <c r="G21" i="13"/>
  <c r="N20" i="13"/>
  <c r="L20" i="13"/>
  <c r="K20" i="13"/>
  <c r="M20" i="13" s="1"/>
  <c r="I20" i="13"/>
  <c r="G20" i="13"/>
  <c r="N19" i="13"/>
  <c r="N18" i="13"/>
  <c r="N17" i="13"/>
  <c r="N16" i="13"/>
  <c r="N15" i="13"/>
  <c r="N14" i="13"/>
  <c r="N13" i="13"/>
  <c r="N12" i="13"/>
  <c r="E8" i="13"/>
  <c r="P54" i="12"/>
  <c r="P52" i="12"/>
  <c r="P51" i="12"/>
  <c r="N40" i="12"/>
  <c r="L40" i="12"/>
  <c r="K40" i="12"/>
  <c r="M40" i="12" s="1"/>
  <c r="I40" i="12"/>
  <c r="G40" i="12"/>
  <c r="N39" i="12"/>
  <c r="L39" i="12"/>
  <c r="K39" i="12"/>
  <c r="I39" i="12"/>
  <c r="G39" i="12"/>
  <c r="N38" i="12"/>
  <c r="L38" i="12"/>
  <c r="K38" i="12"/>
  <c r="M38" i="12" s="1"/>
  <c r="I38" i="12"/>
  <c r="G38" i="12"/>
  <c r="N37" i="12"/>
  <c r="L37" i="12"/>
  <c r="K37" i="12"/>
  <c r="I37" i="12"/>
  <c r="G37" i="12"/>
  <c r="N36" i="12"/>
  <c r="L36" i="12"/>
  <c r="K36" i="12"/>
  <c r="I36" i="12"/>
  <c r="G36" i="12"/>
  <c r="N35" i="12"/>
  <c r="L35" i="12"/>
  <c r="K35" i="12"/>
  <c r="M35" i="12" s="1"/>
  <c r="I35" i="12"/>
  <c r="G35" i="12"/>
  <c r="N34" i="12"/>
  <c r="L34" i="12"/>
  <c r="K34" i="12"/>
  <c r="M34" i="12" s="1"/>
  <c r="I34" i="12"/>
  <c r="G34" i="12"/>
  <c r="N33" i="12"/>
  <c r="L33" i="12"/>
  <c r="K33" i="12"/>
  <c r="I33" i="12"/>
  <c r="G33" i="12"/>
  <c r="N32" i="12"/>
  <c r="L32" i="12"/>
  <c r="K32" i="12"/>
  <c r="M32" i="12" s="1"/>
  <c r="I32" i="12"/>
  <c r="G32" i="12"/>
  <c r="N31" i="12"/>
  <c r="L31" i="12"/>
  <c r="K31" i="12"/>
  <c r="I31" i="12"/>
  <c r="G31" i="12"/>
  <c r="N30" i="12"/>
  <c r="L30" i="12"/>
  <c r="K30" i="12"/>
  <c r="I30" i="12"/>
  <c r="G30" i="12"/>
  <c r="N29" i="12"/>
  <c r="L29" i="12"/>
  <c r="K29" i="12"/>
  <c r="M29" i="12" s="1"/>
  <c r="I29" i="12"/>
  <c r="G29" i="12"/>
  <c r="N28" i="12"/>
  <c r="L28" i="12"/>
  <c r="K28" i="12"/>
  <c r="M28" i="12" s="1"/>
  <c r="I28" i="12"/>
  <c r="G28" i="12"/>
  <c r="N27" i="12"/>
  <c r="L27" i="12"/>
  <c r="K27" i="12"/>
  <c r="I27" i="12"/>
  <c r="G27" i="12"/>
  <c r="N26" i="12"/>
  <c r="L26" i="12"/>
  <c r="K26" i="12"/>
  <c r="M26" i="12" s="1"/>
  <c r="I26" i="12"/>
  <c r="G26" i="12"/>
  <c r="N25" i="12"/>
  <c r="L25" i="12"/>
  <c r="K25" i="12"/>
  <c r="M25" i="12" s="1"/>
  <c r="I25" i="12"/>
  <c r="G25" i="12"/>
  <c r="N24" i="12"/>
  <c r="L24" i="12"/>
  <c r="K24" i="12"/>
  <c r="M24" i="12" s="1"/>
  <c r="I24" i="12"/>
  <c r="G24" i="12"/>
  <c r="N23" i="12"/>
  <c r="L23" i="12"/>
  <c r="K23" i="12"/>
  <c r="I23" i="12"/>
  <c r="G23" i="12"/>
  <c r="N22" i="12"/>
  <c r="K22" i="12"/>
  <c r="G22" i="12"/>
  <c r="N21" i="12"/>
  <c r="L21" i="12"/>
  <c r="K21" i="12"/>
  <c r="I21" i="12"/>
  <c r="G21" i="12"/>
  <c r="N20" i="12"/>
  <c r="L20" i="12"/>
  <c r="K20" i="12"/>
  <c r="I20" i="12"/>
  <c r="G20" i="12"/>
  <c r="E8" i="12"/>
  <c r="M39" i="15" l="1"/>
  <c r="M32" i="15"/>
  <c r="M29" i="15"/>
  <c r="M27" i="15"/>
  <c r="M30" i="13"/>
  <c r="M24" i="13"/>
  <c r="M21" i="12"/>
  <c r="M20" i="12"/>
  <c r="M29" i="14"/>
  <c r="M35" i="14"/>
  <c r="P35" i="14" s="1"/>
  <c r="M24" i="16"/>
  <c r="M36" i="16"/>
  <c r="M25" i="16"/>
  <c r="P25" i="16" s="1"/>
  <c r="Q25" i="16" s="1"/>
  <c r="M38" i="16"/>
  <c r="P38" i="16" s="1"/>
  <c r="Q38" i="16" s="1"/>
  <c r="M39" i="16"/>
  <c r="P39" i="16" s="1"/>
  <c r="Q39" i="16" s="1"/>
  <c r="P12" i="16"/>
  <c r="Q12" i="16" s="1"/>
  <c r="M21" i="16"/>
  <c r="P21" i="16" s="1"/>
  <c r="Q21" i="16" s="1"/>
  <c r="M34" i="16"/>
  <c r="U53" i="16"/>
  <c r="M28" i="16"/>
  <c r="P28" i="16" s="1"/>
  <c r="Q28" i="16" s="1"/>
  <c r="M22" i="15"/>
  <c r="M34" i="15"/>
  <c r="M38" i="15"/>
  <c r="M25" i="15"/>
  <c r="P25" i="15" s="1"/>
  <c r="Q25" i="15" s="1"/>
  <c r="M35" i="15"/>
  <c r="M26" i="14"/>
  <c r="P26" i="14" s="1"/>
  <c r="Q26" i="14" s="1"/>
  <c r="P29" i="14"/>
  <c r="M40" i="14"/>
  <c r="P40" i="14" s="1"/>
  <c r="M34" i="14"/>
  <c r="P34" i="14" s="1"/>
  <c r="M28" i="14"/>
  <c r="P28" i="14" s="1"/>
  <c r="M36" i="14"/>
  <c r="P36" i="14" s="1"/>
  <c r="M23" i="14"/>
  <c r="P23" i="14" s="1"/>
  <c r="M22" i="14"/>
  <c r="P22" i="14" s="1"/>
  <c r="M21" i="13"/>
  <c r="M31" i="13"/>
  <c r="M32" i="13"/>
  <c r="M33" i="13"/>
  <c r="M37" i="13"/>
  <c r="P37" i="13" s="1"/>
  <c r="Q37" i="13" s="1"/>
  <c r="M25" i="13"/>
  <c r="M35" i="13"/>
  <c r="P35" i="13" s="1"/>
  <c r="Q35" i="13" s="1"/>
  <c r="M40" i="13"/>
  <c r="P40" i="13" s="1"/>
  <c r="Q40" i="13" s="1"/>
  <c r="M38" i="13"/>
  <c r="P38" i="13" s="1"/>
  <c r="Q38" i="13" s="1"/>
  <c r="U53" i="13"/>
  <c r="P17" i="13"/>
  <c r="Q17" i="13" s="1"/>
  <c r="M26" i="13"/>
  <c r="P26" i="13" s="1"/>
  <c r="Q26" i="13" s="1"/>
  <c r="M22" i="13"/>
  <c r="P22" i="13" s="1"/>
  <c r="Q22" i="13" s="1"/>
  <c r="M36" i="13"/>
  <c r="P36" i="13" s="1"/>
  <c r="Q36" i="13" s="1"/>
  <c r="M22" i="12"/>
  <c r="P22" i="12" s="1"/>
  <c r="Q22" i="12" s="1"/>
  <c r="M39" i="12"/>
  <c r="M23" i="12"/>
  <c r="M33" i="12"/>
  <c r="M36" i="12"/>
  <c r="M37" i="12"/>
  <c r="M27" i="12"/>
  <c r="P27" i="12" s="1"/>
  <c r="Q27" i="12" s="1"/>
  <c r="P16" i="15"/>
  <c r="Q16" i="15" s="1"/>
  <c r="P16" i="12"/>
  <c r="Q16" i="12" s="1"/>
  <c r="P14" i="16"/>
  <c r="Q14" i="16" s="1"/>
  <c r="L53" i="16"/>
  <c r="P16" i="13"/>
  <c r="Q16" i="13" s="1"/>
  <c r="M23" i="13"/>
  <c r="P23" i="13" s="1"/>
  <c r="P17" i="14"/>
  <c r="Q17" i="14" s="1"/>
  <c r="P18" i="16"/>
  <c r="Q18" i="16" s="1"/>
  <c r="M37" i="16"/>
  <c r="P37" i="16" s="1"/>
  <c r="Q37" i="16" s="1"/>
  <c r="P14" i="14"/>
  <c r="Q14" i="14" s="1"/>
  <c r="M22" i="16"/>
  <c r="P22" i="16" s="1"/>
  <c r="Q22" i="16" s="1"/>
  <c r="P14" i="15"/>
  <c r="Q14" i="15" s="1"/>
  <c r="P15" i="16"/>
  <c r="Q15" i="16" s="1"/>
  <c r="P18" i="14"/>
  <c r="M30" i="14"/>
  <c r="P30" i="14" s="1"/>
  <c r="P14" i="13"/>
  <c r="Q14" i="13" s="1"/>
  <c r="L53" i="13"/>
  <c r="M27" i="13"/>
  <c r="M35" i="16"/>
  <c r="P35" i="16" s="1"/>
  <c r="Q35" i="16" s="1"/>
  <c r="M40" i="16"/>
  <c r="P40" i="16" s="1"/>
  <c r="Q40" i="16" s="1"/>
  <c r="M30" i="12"/>
  <c r="P30" i="12" s="1"/>
  <c r="Q30" i="12" s="1"/>
  <c r="P19" i="14"/>
  <c r="M23" i="16"/>
  <c r="P23" i="16" s="1"/>
  <c r="Q23" i="16" s="1"/>
  <c r="M29" i="16"/>
  <c r="P29" i="16" s="1"/>
  <c r="Q29" i="16" s="1"/>
  <c r="P15" i="15"/>
  <c r="Q15" i="15" s="1"/>
  <c r="P16" i="16"/>
  <c r="Q16" i="16" s="1"/>
  <c r="M31" i="14"/>
  <c r="P31" i="14" s="1"/>
  <c r="M28" i="15"/>
  <c r="P15" i="13"/>
  <c r="Q15" i="13" s="1"/>
  <c r="P19" i="13"/>
  <c r="Q19" i="13" s="1"/>
  <c r="M28" i="13"/>
  <c r="P28" i="13" s="1"/>
  <c r="Q28" i="13" s="1"/>
  <c r="U53" i="14"/>
  <c r="O41" i="14"/>
  <c r="U53" i="15"/>
  <c r="M31" i="12"/>
  <c r="P31" i="12" s="1"/>
  <c r="Q31" i="12" s="1"/>
  <c r="L53" i="15"/>
  <c r="O41" i="15"/>
  <c r="P17" i="16"/>
  <c r="Q17" i="16" s="1"/>
  <c r="P39" i="14"/>
  <c r="P19" i="16"/>
  <c r="Q19" i="16" s="1"/>
  <c r="P20" i="16"/>
  <c r="Q20" i="16" s="1"/>
  <c r="P24" i="16"/>
  <c r="Q24" i="16" s="1"/>
  <c r="P26" i="16"/>
  <c r="Q26" i="16" s="1"/>
  <c r="P27" i="16"/>
  <c r="Q27" i="16" s="1"/>
  <c r="P30" i="16"/>
  <c r="Q30" i="16" s="1"/>
  <c r="P31" i="16"/>
  <c r="Q31" i="16" s="1"/>
  <c r="P32" i="16"/>
  <c r="Q32" i="16" s="1"/>
  <c r="P33" i="16"/>
  <c r="Q33" i="16" s="1"/>
  <c r="P34" i="16"/>
  <c r="Q34" i="16" s="1"/>
  <c r="P36" i="16"/>
  <c r="Q36" i="16" s="1"/>
  <c r="P12" i="15"/>
  <c r="P17" i="15"/>
  <c r="Q17" i="15" s="1"/>
  <c r="P13" i="15"/>
  <c r="Q13" i="15" s="1"/>
  <c r="P18" i="15"/>
  <c r="Q18" i="15"/>
  <c r="P19" i="15"/>
  <c r="Q19" i="15" s="1"/>
  <c r="P20" i="15"/>
  <c r="Q20" i="15" s="1"/>
  <c r="P21" i="15"/>
  <c r="Q21" i="15" s="1"/>
  <c r="P22" i="15"/>
  <c r="Q22" i="15" s="1"/>
  <c r="P23" i="15"/>
  <c r="Q23" i="15" s="1"/>
  <c r="P24" i="15"/>
  <c r="Q24" i="15" s="1"/>
  <c r="P26" i="15"/>
  <c r="Q26" i="15" s="1"/>
  <c r="P27" i="15"/>
  <c r="Q27" i="15" s="1"/>
  <c r="P29" i="15"/>
  <c r="Q29" i="15" s="1"/>
  <c r="P30" i="15"/>
  <c r="Q30" i="15" s="1"/>
  <c r="P31" i="15"/>
  <c r="Q31" i="15" s="1"/>
  <c r="P32" i="15"/>
  <c r="Q32" i="15" s="1"/>
  <c r="P33" i="15"/>
  <c r="Q33" i="15" s="1"/>
  <c r="P34" i="15"/>
  <c r="Q34" i="15" s="1"/>
  <c r="P35" i="15"/>
  <c r="Q35" i="15" s="1"/>
  <c r="P36" i="15"/>
  <c r="Q36" i="15" s="1"/>
  <c r="P37" i="15"/>
  <c r="Q37" i="15" s="1"/>
  <c r="P38" i="15"/>
  <c r="Q38" i="15" s="1"/>
  <c r="P39" i="15"/>
  <c r="P40" i="15"/>
  <c r="Q40" i="15" s="1"/>
  <c r="P16" i="14"/>
  <c r="Q16" i="14" s="1"/>
  <c r="P13" i="14"/>
  <c r="Q13" i="14" s="1"/>
  <c r="P15" i="14"/>
  <c r="Q15" i="14" s="1"/>
  <c r="Q20" i="14"/>
  <c r="Q21" i="14"/>
  <c r="Q23" i="14"/>
  <c r="Q24" i="14"/>
  <c r="Q25" i="14"/>
  <c r="Q27" i="14"/>
  <c r="Q29" i="14"/>
  <c r="Q32" i="14"/>
  <c r="Q33" i="14"/>
  <c r="Q34" i="14"/>
  <c r="Q35" i="14"/>
  <c r="Q36" i="14"/>
  <c r="Q37" i="14"/>
  <c r="Q38" i="14"/>
  <c r="Q40" i="14"/>
  <c r="P13" i="13"/>
  <c r="Q13" i="13" s="1"/>
  <c r="P20" i="13"/>
  <c r="Q20" i="13" s="1"/>
  <c r="P21" i="13"/>
  <c r="Q21" i="13" s="1"/>
  <c r="P24" i="13"/>
  <c r="Q24" i="13" s="1"/>
  <c r="P25" i="13"/>
  <c r="Q25" i="13" s="1"/>
  <c r="P27" i="13"/>
  <c r="Q27" i="13" s="1"/>
  <c r="P29" i="13"/>
  <c r="Q29" i="13" s="1"/>
  <c r="P30" i="13"/>
  <c r="Q30" i="13" s="1"/>
  <c r="P31" i="13"/>
  <c r="Q31" i="13" s="1"/>
  <c r="P32" i="13"/>
  <c r="Q32" i="13" s="1"/>
  <c r="P33" i="13"/>
  <c r="Q33" i="13" s="1"/>
  <c r="P34" i="13"/>
  <c r="Q34" i="13" s="1"/>
  <c r="P18" i="12"/>
  <c r="P14" i="12"/>
  <c r="Q14" i="12" s="1"/>
  <c r="P12" i="12"/>
  <c r="P17" i="12"/>
  <c r="Q17" i="12" s="1"/>
  <c r="P15" i="12"/>
  <c r="Q15" i="12" s="1"/>
  <c r="P19" i="12"/>
  <c r="Q19" i="12" s="1"/>
  <c r="P20" i="12"/>
  <c r="Q20" i="12" s="1"/>
  <c r="P21" i="12"/>
  <c r="Q21" i="12" s="1"/>
  <c r="P23" i="12"/>
  <c r="Q23" i="12" s="1"/>
  <c r="P24" i="12"/>
  <c r="Q24" i="12" s="1"/>
  <c r="P25" i="12"/>
  <c r="Q25" i="12" s="1"/>
  <c r="P26" i="12"/>
  <c r="Q26" i="12" s="1"/>
  <c r="P28" i="12"/>
  <c r="Q28" i="12" s="1"/>
  <c r="P29" i="12"/>
  <c r="Q29" i="12" s="1"/>
  <c r="P32" i="12"/>
  <c r="Q32" i="12" s="1"/>
  <c r="P33" i="12"/>
  <c r="Q33" i="12" s="1"/>
  <c r="P34" i="12"/>
  <c r="Q34" i="12" s="1"/>
  <c r="P35" i="12"/>
  <c r="Q35" i="12" s="1"/>
  <c r="P36" i="12"/>
  <c r="Q36" i="12" s="1"/>
  <c r="P37" i="12"/>
  <c r="Q37" i="12" s="1"/>
  <c r="P38" i="12"/>
  <c r="Q38" i="12" s="1"/>
  <c r="P39" i="12"/>
  <c r="P40" i="12"/>
  <c r="Q40" i="12" s="1"/>
  <c r="U51" i="15" l="1"/>
  <c r="Q22" i="14"/>
  <c r="Q12" i="12"/>
  <c r="R12" i="12" s="1"/>
  <c r="U52" i="12"/>
  <c r="P12" i="13"/>
  <c r="M41" i="13"/>
  <c r="T45" i="13" s="1"/>
  <c r="L51" i="14"/>
  <c r="U51" i="13"/>
  <c r="U52" i="14"/>
  <c r="M41" i="12"/>
  <c r="T45" i="12" s="1"/>
  <c r="U51" i="12"/>
  <c r="M41" i="16"/>
  <c r="T45" i="16" s="1"/>
  <c r="U51" i="16"/>
  <c r="L51" i="16"/>
  <c r="P28" i="15"/>
  <c r="Q28" i="15" s="1"/>
  <c r="M41" i="15"/>
  <c r="T45" i="15" s="1"/>
  <c r="M41" i="14"/>
  <c r="T45" i="14" s="1"/>
  <c r="Q31" i="14"/>
  <c r="R31" i="14" s="1"/>
  <c r="S31" i="14" s="1"/>
  <c r="T31" i="14" s="1"/>
  <c r="Q30" i="14"/>
  <c r="R30" i="14" s="1"/>
  <c r="S30" i="14" s="1"/>
  <c r="T30" i="14" s="1"/>
  <c r="Q28" i="14"/>
  <c r="R28" i="14" s="1"/>
  <c r="S28" i="14" s="1"/>
  <c r="T28" i="14" s="1"/>
  <c r="Q23" i="13"/>
  <c r="R23" i="13" s="1"/>
  <c r="S23" i="13" s="1"/>
  <c r="T23" i="13" s="1"/>
  <c r="L51" i="13"/>
  <c r="P13" i="12"/>
  <c r="Q19" i="14"/>
  <c r="U51" i="14"/>
  <c r="U54" i="14" s="1"/>
  <c r="P12" i="14"/>
  <c r="Q18" i="14"/>
  <c r="R18" i="14" s="1"/>
  <c r="S18" i="14" s="1"/>
  <c r="L51" i="12"/>
  <c r="L51" i="15"/>
  <c r="P13" i="16"/>
  <c r="Q13" i="16" s="1"/>
  <c r="R13" i="16" s="1"/>
  <c r="S13" i="16" s="1"/>
  <c r="T13" i="16" s="1"/>
  <c r="P18" i="13"/>
  <c r="U52" i="13" s="1"/>
  <c r="Q39" i="15"/>
  <c r="L52" i="15"/>
  <c r="P41" i="15"/>
  <c r="T46" i="15" s="1"/>
  <c r="T47" i="15" s="1"/>
  <c r="Q39" i="14"/>
  <c r="Q39" i="12"/>
  <c r="R35" i="16"/>
  <c r="S35" i="16" s="1"/>
  <c r="T35" i="16" s="1"/>
  <c r="R23" i="16"/>
  <c r="S23" i="16" s="1"/>
  <c r="T23" i="16" s="1"/>
  <c r="R34" i="16"/>
  <c r="S34" i="16" s="1"/>
  <c r="T34" i="16" s="1"/>
  <c r="R22" i="16"/>
  <c r="S22" i="16" s="1"/>
  <c r="T22" i="16" s="1"/>
  <c r="R21" i="16"/>
  <c r="S21" i="16" s="1"/>
  <c r="T21" i="16" s="1"/>
  <c r="R20" i="16"/>
  <c r="S20" i="16" s="1"/>
  <c r="T20" i="16" s="1"/>
  <c r="R31" i="16"/>
  <c r="S31" i="16" s="1"/>
  <c r="T31" i="16" s="1"/>
  <c r="R32" i="16"/>
  <c r="S32" i="16" s="1"/>
  <c r="T32" i="16" s="1"/>
  <c r="R40" i="16"/>
  <c r="S40" i="16" s="1"/>
  <c r="T40" i="16" s="1"/>
  <c r="R29" i="16"/>
  <c r="S29" i="16" s="1"/>
  <c r="T29" i="16" s="1"/>
  <c r="R15" i="16"/>
  <c r="S15" i="16" s="1"/>
  <c r="T15" i="16" s="1"/>
  <c r="R16" i="16"/>
  <c r="S16" i="16" s="1"/>
  <c r="T16" i="16" s="1"/>
  <c r="R33" i="16"/>
  <c r="S33" i="16" s="1"/>
  <c r="T33" i="16" s="1"/>
  <c r="R14" i="16"/>
  <c r="S14" i="16" s="1"/>
  <c r="T14" i="16" s="1"/>
  <c r="R24" i="16"/>
  <c r="S24" i="16" s="1"/>
  <c r="T24" i="16" s="1"/>
  <c r="R17" i="16"/>
  <c r="S17" i="16" s="1"/>
  <c r="T17" i="16" s="1"/>
  <c r="R12" i="16"/>
  <c r="R26" i="16"/>
  <c r="S26" i="16" s="1"/>
  <c r="T26" i="16" s="1"/>
  <c r="R38" i="16"/>
  <c r="S38" i="16" s="1"/>
  <c r="T38" i="16" s="1"/>
  <c r="R25" i="16"/>
  <c r="S25" i="16" s="1"/>
  <c r="T25" i="16" s="1"/>
  <c r="R28" i="16"/>
  <c r="S28" i="16" s="1"/>
  <c r="T28" i="16" s="1"/>
  <c r="R19" i="16"/>
  <c r="S19" i="16" s="1"/>
  <c r="T19" i="16" s="1"/>
  <c r="R39" i="16"/>
  <c r="S39" i="16" s="1"/>
  <c r="T39" i="16" s="1"/>
  <c r="R36" i="16"/>
  <c r="S36" i="16" s="1"/>
  <c r="T36" i="16" s="1"/>
  <c r="R27" i="16"/>
  <c r="S27" i="16" s="1"/>
  <c r="T27" i="16" s="1"/>
  <c r="U52" i="16"/>
  <c r="R18" i="16"/>
  <c r="S18" i="16" s="1"/>
  <c r="R30" i="16"/>
  <c r="S30" i="16" s="1"/>
  <c r="T30" i="16" s="1"/>
  <c r="R37" i="16"/>
  <c r="S37" i="16" s="1"/>
  <c r="T37" i="16" s="1"/>
  <c r="R14" i="15"/>
  <c r="S14" i="15" s="1"/>
  <c r="T14" i="15" s="1"/>
  <c r="R37" i="15"/>
  <c r="S37" i="15" s="1"/>
  <c r="T37" i="15" s="1"/>
  <c r="R25" i="15"/>
  <c r="S25" i="15" s="1"/>
  <c r="T25" i="15" s="1"/>
  <c r="R24" i="15"/>
  <c r="S24" i="15" s="1"/>
  <c r="T24" i="15" s="1"/>
  <c r="R19" i="15"/>
  <c r="S19" i="15" s="1"/>
  <c r="T19" i="15" s="1"/>
  <c r="R35" i="15"/>
  <c r="S35" i="15" s="1"/>
  <c r="T35" i="15" s="1"/>
  <c r="R23" i="15"/>
  <c r="S23" i="15" s="1"/>
  <c r="T23" i="15" s="1"/>
  <c r="R26" i="15"/>
  <c r="S26" i="15" s="1"/>
  <c r="T26" i="15" s="1"/>
  <c r="R34" i="15"/>
  <c r="S34" i="15" s="1"/>
  <c r="T34" i="15" s="1"/>
  <c r="R22" i="15"/>
  <c r="S22" i="15" s="1"/>
  <c r="T22" i="15" s="1"/>
  <c r="R15" i="15"/>
  <c r="S15" i="15" s="1"/>
  <c r="T15" i="15" s="1"/>
  <c r="R17" i="15"/>
  <c r="S17" i="15" s="1"/>
  <c r="T17" i="15" s="1"/>
  <c r="R38" i="15"/>
  <c r="S38" i="15" s="1"/>
  <c r="T38" i="15" s="1"/>
  <c r="R33" i="15"/>
  <c r="S33" i="15" s="1"/>
  <c r="T33" i="15" s="1"/>
  <c r="R21" i="15"/>
  <c r="S21" i="15" s="1"/>
  <c r="T21" i="15" s="1"/>
  <c r="R20" i="15"/>
  <c r="S20" i="15" s="1"/>
  <c r="T20" i="15" s="1"/>
  <c r="R30" i="15"/>
  <c r="S30" i="15" s="1"/>
  <c r="T30" i="15" s="1"/>
  <c r="R18" i="15"/>
  <c r="S18" i="15" s="1"/>
  <c r="R40" i="15"/>
  <c r="S40" i="15" s="1"/>
  <c r="T40" i="15" s="1"/>
  <c r="R29" i="15"/>
  <c r="S29" i="15" s="1"/>
  <c r="T29" i="15" s="1"/>
  <c r="R31" i="15"/>
  <c r="S31" i="15" s="1"/>
  <c r="T31" i="15" s="1"/>
  <c r="R13" i="15"/>
  <c r="S13" i="15" s="1"/>
  <c r="T13" i="15" s="1"/>
  <c r="R32" i="15"/>
  <c r="S32" i="15" s="1"/>
  <c r="T32" i="15" s="1"/>
  <c r="R27" i="15"/>
  <c r="S27" i="15" s="1"/>
  <c r="T27" i="15" s="1"/>
  <c r="R36" i="15"/>
  <c r="S36" i="15" s="1"/>
  <c r="T36" i="15" s="1"/>
  <c r="Q12" i="15"/>
  <c r="R16" i="15"/>
  <c r="S16" i="15" s="1"/>
  <c r="T16" i="15" s="1"/>
  <c r="R13" i="14"/>
  <c r="S13" i="14" s="1"/>
  <c r="T13" i="14" s="1"/>
  <c r="R14" i="14"/>
  <c r="S14" i="14" s="1"/>
  <c r="T14" i="14" s="1"/>
  <c r="R16" i="14"/>
  <c r="S16" i="14" s="1"/>
  <c r="T16" i="14" s="1"/>
  <c r="R35" i="14"/>
  <c r="S35" i="14" s="1"/>
  <c r="T35" i="14" s="1"/>
  <c r="R23" i="14"/>
  <c r="S23" i="14" s="1"/>
  <c r="T23" i="14" s="1"/>
  <c r="R36" i="14"/>
  <c r="S36" i="14" s="1"/>
  <c r="T36" i="14" s="1"/>
  <c r="R34" i="14"/>
  <c r="S34" i="14" s="1"/>
  <c r="T34" i="14" s="1"/>
  <c r="R33" i="14"/>
  <c r="S33" i="14" s="1"/>
  <c r="T33" i="14" s="1"/>
  <c r="R21" i="14"/>
  <c r="S21" i="14" s="1"/>
  <c r="T21" i="14" s="1"/>
  <c r="R24" i="14"/>
  <c r="S24" i="14" s="1"/>
  <c r="T24" i="14" s="1"/>
  <c r="R32" i="14"/>
  <c r="S32" i="14" s="1"/>
  <c r="T32" i="14" s="1"/>
  <c r="R20" i="14"/>
  <c r="S20" i="14" s="1"/>
  <c r="T20" i="14" s="1"/>
  <c r="R25" i="14"/>
  <c r="S25" i="14" s="1"/>
  <c r="T25" i="14" s="1"/>
  <c r="R17" i="14"/>
  <c r="S17" i="14" s="1"/>
  <c r="T17" i="14" s="1"/>
  <c r="R40" i="14"/>
  <c r="S40" i="14" s="1"/>
  <c r="T40" i="14" s="1"/>
  <c r="R29" i="14"/>
  <c r="S29" i="14" s="1"/>
  <c r="T29" i="14" s="1"/>
  <c r="R15" i="14"/>
  <c r="S15" i="14" s="1"/>
  <c r="T15" i="14" s="1"/>
  <c r="R37" i="14"/>
  <c r="S37" i="14" s="1"/>
  <c r="T37" i="14" s="1"/>
  <c r="R27" i="14"/>
  <c r="S27" i="14" s="1"/>
  <c r="T27" i="14" s="1"/>
  <c r="R38" i="14"/>
  <c r="S38" i="14" s="1"/>
  <c r="T38" i="14" s="1"/>
  <c r="R26" i="14"/>
  <c r="S26" i="14" s="1"/>
  <c r="T26" i="14" s="1"/>
  <c r="R24" i="13"/>
  <c r="S24" i="13" s="1"/>
  <c r="T24" i="13" s="1"/>
  <c r="R21" i="13"/>
  <c r="S21" i="13" s="1"/>
  <c r="T21" i="13" s="1"/>
  <c r="R32" i="13"/>
  <c r="S32" i="13" s="1"/>
  <c r="T32" i="13" s="1"/>
  <c r="R14" i="13"/>
  <c r="S14" i="13" s="1"/>
  <c r="T14" i="13" s="1"/>
  <c r="R33" i="13"/>
  <c r="S33" i="13" s="1"/>
  <c r="T33" i="13" s="1"/>
  <c r="R34" i="13"/>
  <c r="S34" i="13" s="1"/>
  <c r="T34" i="13" s="1"/>
  <c r="R40" i="13"/>
  <c r="S40" i="13" s="1"/>
  <c r="T40" i="13" s="1"/>
  <c r="R29" i="13"/>
  <c r="S29" i="13" s="1"/>
  <c r="T29" i="13" s="1"/>
  <c r="R36" i="13"/>
  <c r="S36" i="13" s="1"/>
  <c r="T36" i="13" s="1"/>
  <c r="R16" i="13"/>
  <c r="S16" i="13" s="1"/>
  <c r="T16" i="13" s="1"/>
  <c r="R30" i="13"/>
  <c r="S30" i="13" s="1"/>
  <c r="T30" i="13" s="1"/>
  <c r="R28" i="13"/>
  <c r="S28" i="13" s="1"/>
  <c r="T28" i="13" s="1"/>
  <c r="R15" i="13"/>
  <c r="S15" i="13" s="1"/>
  <c r="T15" i="13" s="1"/>
  <c r="R27" i="13"/>
  <c r="S27" i="13" s="1"/>
  <c r="T27" i="13" s="1"/>
  <c r="R38" i="13"/>
  <c r="S38" i="13" s="1"/>
  <c r="T38" i="13" s="1"/>
  <c r="R26" i="13"/>
  <c r="S26" i="13" s="1"/>
  <c r="T26" i="13" s="1"/>
  <c r="R25" i="13"/>
  <c r="S25" i="13" s="1"/>
  <c r="T25" i="13" s="1"/>
  <c r="R17" i="13"/>
  <c r="S17" i="13" s="1"/>
  <c r="T17" i="13" s="1"/>
  <c r="L52" i="13"/>
  <c r="Q12" i="13"/>
  <c r="R22" i="13"/>
  <c r="S22" i="13" s="1"/>
  <c r="T22" i="13" s="1"/>
  <c r="R35" i="13"/>
  <c r="S35" i="13" s="1"/>
  <c r="T35" i="13" s="1"/>
  <c r="R13" i="13"/>
  <c r="S13" i="13" s="1"/>
  <c r="T13" i="13" s="1"/>
  <c r="R20" i="13"/>
  <c r="S20" i="13" s="1"/>
  <c r="T20" i="13" s="1"/>
  <c r="R37" i="13"/>
  <c r="S37" i="13" s="1"/>
  <c r="T37" i="13" s="1"/>
  <c r="R31" i="13"/>
  <c r="S31" i="13" s="1"/>
  <c r="T31" i="13" s="1"/>
  <c r="R19" i="13"/>
  <c r="S19" i="13" s="1"/>
  <c r="T19" i="13" s="1"/>
  <c r="R20" i="12"/>
  <c r="S20" i="12" s="1"/>
  <c r="T20" i="12" s="1"/>
  <c r="R16" i="12"/>
  <c r="S16" i="12" s="1"/>
  <c r="T16" i="12" s="1"/>
  <c r="R40" i="12"/>
  <c r="S40" i="12" s="1"/>
  <c r="T40" i="12" s="1"/>
  <c r="R25" i="12"/>
  <c r="S25" i="12" s="1"/>
  <c r="T25" i="12" s="1"/>
  <c r="R24" i="12"/>
  <c r="S24" i="12" s="1"/>
  <c r="T24" i="12" s="1"/>
  <c r="R29" i="12"/>
  <c r="S29" i="12" s="1"/>
  <c r="T29" i="12" s="1"/>
  <c r="R26" i="12"/>
  <c r="S26" i="12" s="1"/>
  <c r="T26" i="12" s="1"/>
  <c r="R35" i="12"/>
  <c r="S35" i="12" s="1"/>
  <c r="T35" i="12" s="1"/>
  <c r="R17" i="12"/>
  <c r="S17" i="12" s="1"/>
  <c r="T17" i="12" s="1"/>
  <c r="R28" i="12"/>
  <c r="S28" i="12" s="1"/>
  <c r="T28" i="12" s="1"/>
  <c r="R38" i="12"/>
  <c r="S38" i="12" s="1"/>
  <c r="T38" i="12" s="1"/>
  <c r="R22" i="12"/>
  <c r="S22" i="12" s="1"/>
  <c r="T22" i="12" s="1"/>
  <c r="R31" i="12"/>
  <c r="S31" i="12" s="1"/>
  <c r="T31" i="12" s="1"/>
  <c r="R37" i="12"/>
  <c r="S37" i="12" s="1"/>
  <c r="T37" i="12" s="1"/>
  <c r="R19" i="12"/>
  <c r="S19" i="12" s="1"/>
  <c r="T19" i="12" s="1"/>
  <c r="R33" i="12"/>
  <c r="S33" i="12" s="1"/>
  <c r="T33" i="12" s="1"/>
  <c r="R36" i="12"/>
  <c r="S36" i="12" s="1"/>
  <c r="T36" i="12" s="1"/>
  <c r="R21" i="12"/>
  <c r="S21" i="12" s="1"/>
  <c r="T21" i="12" s="1"/>
  <c r="R32" i="12"/>
  <c r="S32" i="12" s="1"/>
  <c r="T32" i="12" s="1"/>
  <c r="R15" i="12"/>
  <c r="S15" i="12" s="1"/>
  <c r="T15" i="12" s="1"/>
  <c r="R14" i="12"/>
  <c r="S14" i="12" s="1"/>
  <c r="T14" i="12" s="1"/>
  <c r="R23" i="12"/>
  <c r="S23" i="12" s="1"/>
  <c r="T23" i="12" s="1"/>
  <c r="R27" i="12"/>
  <c r="S27" i="12" s="1"/>
  <c r="T27" i="12" s="1"/>
  <c r="R30" i="12"/>
  <c r="S30" i="12" s="1"/>
  <c r="T30" i="12" s="1"/>
  <c r="R34" i="12"/>
  <c r="S34" i="12" s="1"/>
  <c r="T34" i="12" s="1"/>
  <c r="Q18" i="12"/>
  <c r="U52" i="15" l="1"/>
  <c r="U54" i="15" s="1"/>
  <c r="R28" i="15"/>
  <c r="S28" i="15" s="1"/>
  <c r="T28" i="15" s="1"/>
  <c r="R22" i="14"/>
  <c r="S22" i="14" s="1"/>
  <c r="T22" i="14" s="1"/>
  <c r="L52" i="12"/>
  <c r="U54" i="13"/>
  <c r="L54" i="13"/>
  <c r="L54" i="12"/>
  <c r="U54" i="12"/>
  <c r="P41" i="14"/>
  <c r="T46" i="14" s="1"/>
  <c r="T47" i="14" s="1"/>
  <c r="L52" i="14"/>
  <c r="L54" i="14" s="1"/>
  <c r="Q13" i="12"/>
  <c r="P41" i="12"/>
  <c r="T46" i="12" s="1"/>
  <c r="T47" i="12" s="1"/>
  <c r="P41" i="13"/>
  <c r="T46" i="13" s="1"/>
  <c r="T47" i="13" s="1"/>
  <c r="Q41" i="12"/>
  <c r="U54" i="16"/>
  <c r="R13" i="12"/>
  <c r="S13" i="12" s="1"/>
  <c r="T13" i="12" s="1"/>
  <c r="L54" i="15"/>
  <c r="R19" i="14"/>
  <c r="S19" i="14" s="1"/>
  <c r="T19" i="14" s="1"/>
  <c r="U55" i="14"/>
  <c r="U56" i="14" s="1"/>
  <c r="D7" i="19" s="1"/>
  <c r="Q12" i="14"/>
  <c r="Q41" i="14" s="1"/>
  <c r="Q18" i="13"/>
  <c r="R18" i="13" s="1"/>
  <c r="S18" i="13" s="1"/>
  <c r="U55" i="13" s="1"/>
  <c r="Q41" i="15"/>
  <c r="T18" i="15"/>
  <c r="U55" i="15"/>
  <c r="U56" i="15" s="1"/>
  <c r="Q41" i="16"/>
  <c r="P41" i="16"/>
  <c r="T46" i="16" s="1"/>
  <c r="T47" i="16" s="1"/>
  <c r="L52" i="16"/>
  <c r="L54" i="16" s="1"/>
  <c r="R39" i="15"/>
  <c r="S39" i="15" s="1"/>
  <c r="R39" i="14"/>
  <c r="R39" i="12"/>
  <c r="U55" i="16"/>
  <c r="T18" i="16"/>
  <c r="S12" i="16"/>
  <c r="R41" i="16"/>
  <c r="R12" i="15"/>
  <c r="T18" i="14"/>
  <c r="R12" i="13"/>
  <c r="S12" i="12"/>
  <c r="R18" i="12"/>
  <c r="S18" i="12" s="1"/>
  <c r="U55" i="12" s="1"/>
  <c r="U56" i="12" s="1"/>
  <c r="D5" i="19" s="1"/>
  <c r="U56" i="13" l="1"/>
  <c r="D6" i="19" s="1"/>
  <c r="R41" i="15"/>
  <c r="D9" i="19"/>
  <c r="D8" i="19"/>
  <c r="R12" i="14"/>
  <c r="S12" i="14" s="1"/>
  <c r="R41" i="13"/>
  <c r="Q41" i="13"/>
  <c r="U56" i="16"/>
  <c r="R41" i="12"/>
  <c r="T39" i="15"/>
  <c r="S39" i="14"/>
  <c r="S39" i="12"/>
  <c r="S41" i="12" s="1"/>
  <c r="L55" i="16"/>
  <c r="S41" i="16"/>
  <c r="T48" i="16" s="1"/>
  <c r="T49" i="16" s="1"/>
  <c r="T12" i="16"/>
  <c r="T41" i="16" s="1"/>
  <c r="S12" i="15"/>
  <c r="L55" i="15" s="1"/>
  <c r="L56" i="15" s="1"/>
  <c r="T18" i="13"/>
  <c r="S12" i="13"/>
  <c r="T18" i="12"/>
  <c r="L55" i="12"/>
  <c r="L56" i="12" s="1"/>
  <c r="C5" i="19" s="1"/>
  <c r="T12" i="12"/>
  <c r="S41" i="13" l="1"/>
  <c r="T12" i="13"/>
  <c r="V22" i="13" s="1"/>
  <c r="S41" i="14"/>
  <c r="C8" i="19"/>
  <c r="C9" i="19"/>
  <c r="R41" i="14"/>
  <c r="D10" i="19"/>
  <c r="D30" i="19" s="1"/>
  <c r="S41" i="15"/>
  <c r="T48" i="15" s="1"/>
  <c r="T49" i="15" s="1"/>
  <c r="L56" i="16"/>
  <c r="P55" i="16" s="1"/>
  <c r="T39" i="14"/>
  <c r="T39" i="12"/>
  <c r="T41" i="12" s="1"/>
  <c r="T48" i="12"/>
  <c r="T49" i="12" s="1"/>
  <c r="P55" i="15"/>
  <c r="T12" i="15"/>
  <c r="T41" i="15" s="1"/>
  <c r="L55" i="14"/>
  <c r="L56" i="14" s="1"/>
  <c r="C7" i="19" s="1"/>
  <c r="T48" i="14"/>
  <c r="T49" i="14" s="1"/>
  <c r="T12" i="14"/>
  <c r="L55" i="13"/>
  <c r="T48" i="13"/>
  <c r="T49" i="13" s="1"/>
  <c r="T41" i="13"/>
  <c r="E8" i="19" l="1"/>
  <c r="T41" i="14"/>
  <c r="E9" i="19"/>
  <c r="P55" i="14"/>
  <c r="L56" i="13"/>
  <c r="C6" i="19" s="1"/>
  <c r="C10" i="19" s="1"/>
  <c r="C30" i="19" s="1"/>
  <c r="E5" i="19" l="1"/>
  <c r="E7" i="19"/>
  <c r="E6" i="19"/>
  <c r="E10" i="19" l="1"/>
  <c r="E30" i="19" s="1"/>
</calcChain>
</file>

<file path=xl/sharedStrings.xml><?xml version="1.0" encoding="utf-8"?>
<sst xmlns="http://schemas.openxmlformats.org/spreadsheetml/2006/main" count="1600" uniqueCount="185">
  <si>
    <t>SERVICIOS DE VIGILANCIA 2026</t>
  </si>
  <si>
    <t xml:space="preserve">MES </t>
  </si>
  <si>
    <t>Funcionamiento</t>
  </si>
  <si>
    <t>SGR</t>
  </si>
  <si>
    <t>TOTAL</t>
  </si>
  <si>
    <t xml:space="preserve">AGOSTO </t>
  </si>
  <si>
    <t>SEPTIEMBRE</t>
  </si>
  <si>
    <t>OCTUBRE</t>
  </si>
  <si>
    <t>NOVIEMBRE</t>
  </si>
  <si>
    <t>DICIEMBRE</t>
  </si>
  <si>
    <t>ALARMAS 2026</t>
  </si>
  <si>
    <t xml:space="preserve">CONCEPTO </t>
  </si>
  <si>
    <t xml:space="preserve">MONITOREO DE ALARMAS </t>
  </si>
  <si>
    <t>MANTENIMIENTO DE  ALARMAS</t>
  </si>
  <si>
    <t xml:space="preserve">ADQUISICION DE ALARMAS FIJAS E INALAMBRICAS  </t>
  </si>
  <si>
    <t>Presupuesto Agosto / Dic 15-2026</t>
  </si>
  <si>
    <t>Vigilancia/alarmas</t>
  </si>
  <si>
    <t>Disponibilidad  presupuestal</t>
  </si>
  <si>
    <t>Servicio</t>
  </si>
  <si>
    <t>Regalías</t>
  </si>
  <si>
    <t>Total</t>
  </si>
  <si>
    <t>Vigilancia</t>
  </si>
  <si>
    <t>AGENCIA NACIONAL DE MINERÍA</t>
  </si>
  <si>
    <t xml:space="preserve">                                                                                                                     SERVICIOS DE VIGILANCIA Y SEGURIDAD PRIVADA</t>
  </si>
  <si>
    <t>SALARIO MINIMO 2026</t>
  </si>
  <si>
    <t xml:space="preserve"> </t>
  </si>
  <si>
    <t>TARIFA</t>
  </si>
  <si>
    <t>TOTAL TARIFA</t>
  </si>
  <si>
    <t>DE 6 AM A 9 PM</t>
  </si>
  <si>
    <t>DIURNO</t>
  </si>
  <si>
    <t>DE 9 PM A 6 AM</t>
  </si>
  <si>
    <t>NOCTURNO</t>
  </si>
  <si>
    <t>SERVICIOS DE VIGILANCIA Y SEGURIDAD PRIVADA</t>
  </si>
  <si>
    <t>UBICACIÓN</t>
  </si>
  <si>
    <t>CANTIDAD</t>
  </si>
  <si>
    <t>DESCRIPCIÓN DE LOS SERVICIOS</t>
  </si>
  <si>
    <t>ESPECIFI-CACIÓN</t>
  </si>
  <si>
    <t>TURNO</t>
  </si>
  <si>
    <t>HORAS X TURNO</t>
  </si>
  <si>
    <t>HORARIO</t>
  </si>
  <si>
    <t>HORAS BASE</t>
  </si>
  <si>
    <t>DIAS</t>
  </si>
  <si>
    <t>Variable Propor</t>
  </si>
  <si>
    <t>SUBTOTAL</t>
  </si>
  <si>
    <t>SEGURO VIGILANCIA</t>
  </si>
  <si>
    <t>AYS</t>
  </si>
  <si>
    <t>BASE IVA</t>
  </si>
  <si>
    <t>IVA</t>
  </si>
  <si>
    <t>RECURSO $</t>
  </si>
  <si>
    <t>BOGOTÁ SEDE PRINCIPAL ANM</t>
  </si>
  <si>
    <t>Turno de vigilancia sin arma 12 horas lunes a viernes sin festivo (8:00 am a 8:00 p.m.) 11 horas diurnas. Recorredor.</t>
  </si>
  <si>
    <t>SIN ARMA</t>
  </si>
  <si>
    <t>12 HORAS</t>
  </si>
  <si>
    <t>ANM</t>
  </si>
  <si>
    <t>Turno de vigilancia sin arma 12 horas lunes a viernes sin festivo (8:00 am a 8:00 p.m.) 1 hora nocturna. Recorredor.</t>
  </si>
  <si>
    <t xml:space="preserve">1 Turno diurno de 12 horas lunes a viernes (sin festivos) (1 recepcionistas). Piso 9.  </t>
  </si>
  <si>
    <t>1 Turno diurno de 12 horas lunes a viernes (sin festivos) (1 recepcionista). Piso 10.</t>
  </si>
  <si>
    <t>1 Turno diurno de 12 horas lunes a viernes (sin festivos) (1 recepcionista). Piso 8.</t>
  </si>
  <si>
    <t xml:space="preserve">1 Turno de 13 horas diurnas permanentes (Operador de medios tecnológicos). </t>
  </si>
  <si>
    <t>13 HORAS</t>
  </si>
  <si>
    <t xml:space="preserve">1 Turno nocturno de 11 horas permanentes (Operador de medios tecnológicos) </t>
  </si>
  <si>
    <t>11  HORAS</t>
  </si>
  <si>
    <t>1 Turno diurno de 12 horas Lunes a Sábado (con festivos)  (Supervisor Nacional)</t>
  </si>
  <si>
    <t>BOGOTÁ, BODEGA ARCHIVO</t>
  </si>
  <si>
    <t>1 Turno de vigilancia armada 24 horas (12 horas diurnas y 12 horas nocturnas).</t>
  </si>
  <si>
    <t>CON ARMA</t>
  </si>
  <si>
    <t>24 HORAS</t>
  </si>
  <si>
    <t>N/A</t>
  </si>
  <si>
    <t>BOGOTÁ ANM CAN (Esmeraldas)</t>
  </si>
  <si>
    <t>1 Turno de vigilancia armada 24 horas permanentes (12 horas diurnas y 12 horas nocturnas)</t>
  </si>
  <si>
    <t>CARTAGENA</t>
  </si>
  <si>
    <t xml:space="preserve">1 Turno diurno de 12 horas lunes a viernes (sin festivos) </t>
  </si>
  <si>
    <t>BUCARAMANGA</t>
  </si>
  <si>
    <t xml:space="preserve">1 Turno de vigilancia armada 24 horas </t>
  </si>
  <si>
    <t>CÚCUTA - ESSM UFPS</t>
  </si>
  <si>
    <t>1 Turno de vigilancia armada 24 horas. Salvamento Minero.</t>
  </si>
  <si>
    <t>CÚCUTA</t>
  </si>
  <si>
    <t>1 Turno de vigilancia armada 24 horas</t>
  </si>
  <si>
    <t>IBAGUÉ</t>
  </si>
  <si>
    <t>MEDELLÍN</t>
  </si>
  <si>
    <t>1 Turno de vigilancia armada 24 horas.</t>
  </si>
  <si>
    <t>CALI</t>
  </si>
  <si>
    <t>NOBSA (PAR y ESSM)</t>
  </si>
  <si>
    <t>AMAGA (PASSM)</t>
  </si>
  <si>
    <t>1 Turno de vigilancia armada 24 horas. Nueva Sede Salvamento Minero.</t>
  </si>
  <si>
    <t>VALLEDUPAR</t>
  </si>
  <si>
    <t>JAMUNDÍ ESSM</t>
  </si>
  <si>
    <t>2 Turnos de vigilancia armada 24 horas. Salvamento Minero.</t>
  </si>
  <si>
    <t>QUIBDÓ</t>
  </si>
  <si>
    <t>MANIZALES</t>
  </si>
  <si>
    <t>PASTO</t>
  </si>
  <si>
    <t>MARMATO, CALDAS,  PASSM</t>
  </si>
  <si>
    <t>REMEDIOS, ANTIOQUIA, PASSM</t>
  </si>
  <si>
    <t>UBATÉ ESSM</t>
  </si>
  <si>
    <t>1 Turnos de vigilancia armada 24 horas. Salvamento Minero.</t>
  </si>
  <si>
    <t>CALIFORNIA</t>
  </si>
  <si>
    <r>
      <rPr>
        <b/>
        <sz val="12"/>
        <color theme="1"/>
        <rFont val="Arial"/>
        <family val="2"/>
      </rPr>
      <t>NOTA:</t>
    </r>
    <r>
      <rPr>
        <sz val="12"/>
        <color theme="1"/>
        <rFont val="Arial"/>
        <family val="2"/>
      </rPr>
      <t xml:space="preserve">  Los valores de los servicios de vigilancia y seguridad privada corresponden a las tarifas establecidas para el año 2026 por la Circular Externa  20251300000115CS  de 30 de diciembre de 2025 de la Superintendencia de Vigilancia y Seguridad Privada.</t>
    </r>
  </si>
  <si>
    <t xml:space="preserve">              </t>
  </si>
  <si>
    <t>COSTO DIRECTO ($)</t>
  </si>
  <si>
    <t>A Y S ($)</t>
  </si>
  <si>
    <t>SUBTOTAL ($)</t>
  </si>
  <si>
    <t>IVA 19% ($)</t>
  </si>
  <si>
    <t>FUNCIONAMIENTO</t>
  </si>
  <si>
    <t xml:space="preserve">Supervisor del Contrato </t>
  </si>
  <si>
    <t>SEGURO</t>
  </si>
  <si>
    <t>Grupo de Servicios Administrativos</t>
  </si>
  <si>
    <t>Vicepresidencia Administrativa y Financiera</t>
  </si>
  <si>
    <t>FACTURA</t>
  </si>
  <si>
    <t>PRESTACIÓN SERVICIO DE VIGILANCIA CON MEDIOS TECNOLÓGICOS</t>
  </si>
  <si>
    <t>VALOR OFERTADO CON IVA</t>
  </si>
  <si>
    <t>Reporte previo ANM</t>
  </si>
  <si>
    <t>DESCRIPCIÓN</t>
  </si>
  <si>
    <t xml:space="preserve">CANTIDAD (MESES) </t>
  </si>
  <si>
    <t xml:space="preserve">VALOR UNITARIO CON IVA </t>
  </si>
  <si>
    <t xml:space="preserve">VALOR TOTAL INCLUIDO IVA </t>
  </si>
  <si>
    <t>TECLADO ALARMAS  SGC-ANM</t>
  </si>
  <si>
    <t>NOBSA</t>
  </si>
  <si>
    <t>BUCARAMANGA PASSMB</t>
  </si>
  <si>
    <t>TECLADO ALARMAS ANM</t>
  </si>
  <si>
    <t>TORRE 4 PISO 10</t>
  </si>
  <si>
    <t>TORRE 4 PISO 9</t>
  </si>
  <si>
    <t>OFICINA TORRE 4 PISO 8</t>
  </si>
  <si>
    <t>ESMERALDAS</t>
  </si>
  <si>
    <t>BOGOTÁ TORRE 7</t>
  </si>
  <si>
    <t>BUCARAMANGA PAR</t>
  </si>
  <si>
    <t>CÚCUTA PAR</t>
  </si>
  <si>
    <t>CÚCUTA ESSMC</t>
  </si>
  <si>
    <t xml:space="preserve">VALLEDUPAR </t>
  </si>
  <si>
    <t>JAMUNDÍ</t>
  </si>
  <si>
    <t>UBATÉ</t>
  </si>
  <si>
    <t>MARMATO</t>
  </si>
  <si>
    <r>
      <rPr>
        <b/>
        <sz val="9"/>
        <color rgb="FF000000"/>
        <rFont val="Arial Narrow"/>
        <family val="2"/>
      </rPr>
      <t>NOTA:</t>
    </r>
    <r>
      <rPr>
        <sz val="9"/>
        <color rgb="FF000000"/>
        <rFont val="Arial Narrow"/>
        <family val="2"/>
      </rPr>
      <t xml:space="preserve"> Los valores corresponden a la propuesta económica del contratista 2025.</t>
    </r>
  </si>
  <si>
    <t xml:space="preserve">VALOR TOTAL </t>
  </si>
  <si>
    <t xml:space="preserve">FUENTE </t>
  </si>
  <si>
    <t xml:space="preserve">ANM </t>
  </si>
  <si>
    <t xml:space="preserve">SGR </t>
  </si>
  <si>
    <t>Supervisor ANM</t>
  </si>
  <si>
    <t xml:space="preserve">MANTENIMIENTO DE ALARMAS </t>
  </si>
  <si>
    <t>VALOR TOTAL</t>
  </si>
  <si>
    <t>CONCEPTO</t>
  </si>
  <si>
    <t xml:space="preserve">VALOR UNITARIO PROMEDIO (INCLUIDO IVA </t>
  </si>
  <si>
    <t xml:space="preserve">CANTIDAD </t>
  </si>
  <si>
    <t>SUMINISTRO  E INSTALACION DE ALARMAS (FIJAS)</t>
  </si>
  <si>
    <t>SUMINISTRO E INSTALACION  DE ALARMAS (INHALÁMBRICAS)</t>
  </si>
  <si>
    <r>
      <rPr>
        <b/>
        <i/>
        <sz val="11"/>
        <color theme="1"/>
        <rFont val="Calibri"/>
        <family val="2"/>
        <scheme val="minor"/>
      </rPr>
      <t>Nota</t>
    </r>
    <r>
      <rPr>
        <i/>
        <sz val="11"/>
        <color theme="1"/>
        <rFont val="Calibri"/>
        <family val="2"/>
        <scheme val="minor"/>
      </rPr>
      <t>: La cantidad estimada corresponde a la prevista en el estudio de presupuesto; no obstante, el suministro de las alarmas se realizará de acuerdo con las necesidades que presente la Entidad durante la ejecución del contrato.</t>
    </r>
  </si>
  <si>
    <t>ESPECIFICACIÓN</t>
  </si>
  <si>
    <t>Cotizacion No.1 SEGURIDAD LTDA</t>
  </si>
  <si>
    <t>Cotizacion No.2_SEGURIDAD RECORD DE COLOMBIA LTDA</t>
  </si>
  <si>
    <t>Cotizacion No.3_SEGURIDAD SUPERIOR LTDA</t>
  </si>
  <si>
    <t xml:space="preserve">PROMEDIO </t>
  </si>
  <si>
    <t xml:space="preserve">MEDIANA </t>
  </si>
  <si>
    <t xml:space="preserve">MEDIA GEOMETRICA </t>
  </si>
  <si>
    <t>Turno de vigilancia sin arma 12 horas lunes a viernes sin festivo</t>
  </si>
  <si>
    <t xml:space="preserve">1 Turno de 12 horas diurnas permanentes (Operador de medios tecnológicos). </t>
  </si>
  <si>
    <t>1 Turno de 12 horas diurnas permanentes (Operador de medios tecnológicos) 3 Horas Diurnas</t>
  </si>
  <si>
    <t>1 Turno nocturno de 12 horas permanentes (Operador de medios tecnológicos) 9 horas nocturnas</t>
  </si>
  <si>
    <t xml:space="preserve">Se excluye del presente analisis la cotizacion presentada por SEGURIDAD RECORD DE COLOMBIA LTDA, dado que misma se evidencia un error frente a la cotizacion de este servicio. </t>
  </si>
  <si>
    <t>PROYECCION AL CONTRATO DE VIGILANCIA Y SEGURIDAD PRIVADA PARA EL PERIODO DE AGOSTO A DICIEMBRE DE 2026</t>
  </si>
  <si>
    <t>RESUMEN VALOR OFERTA SERVICIOS TECNOLÓGICOS POR CONCEPTO</t>
  </si>
  <si>
    <t>PERIOCIDAD</t>
  </si>
  <si>
    <t xml:space="preserve">VALOR UNITARIO  ANTES DE IVA </t>
  </si>
  <si>
    <t xml:space="preserve">IVA  (19 %) </t>
  </si>
  <si>
    <t>VALOR TOTAL OFERTADO ( IVA )</t>
  </si>
  <si>
    <t xml:space="preserve">MANTENIMIENTO DE ALARMAS ACTUALES </t>
  </si>
  <si>
    <t>1 VEZ DURANTE LA VIGENCIA DEL CONTRATO</t>
  </si>
  <si>
    <t>MONITOREO DE ALARMAS</t>
  </si>
  <si>
    <t>MENSUAL</t>
  </si>
  <si>
    <t>CUÁNDO SE REQUIERA (UNIDAD)</t>
  </si>
  <si>
    <t>TOTAL PROPUESTA SERVICIOS TECNOLÓGICOS</t>
  </si>
  <si>
    <t xml:space="preserve">*COTIZAR EL VALOR POR UNIDAD DE CADA ITEM </t>
  </si>
  <si>
    <t xml:space="preserve">La presente cotizacion debe incluir todos los gastos, costos, impuestos y contribuciones que hayan lugar,  estos servicios se prestan a nivel Nacional. </t>
  </si>
  <si>
    <t xml:space="preserve">VALOR TOTAL OFERTADO ( IVA ) (2025) </t>
  </si>
  <si>
    <t xml:space="preserve">VALOR TOTAL  ( IVA ) (2026) </t>
  </si>
  <si>
    <t>Cotizacion No.1_LAOS SEGURIDAD LTDA</t>
  </si>
  <si>
    <t xml:space="preserve">Cotizacion No.4 SEGURIDAD LAD </t>
  </si>
  <si>
    <t xml:space="preserve">Analisis Aritmetico </t>
  </si>
  <si>
    <t xml:space="preserve">ANALISIS DEL VARIACION vs PROMEDIO </t>
  </si>
  <si>
    <t xml:space="preserve">DESVIACION </t>
  </si>
  <si>
    <t>Cotizacion No.1</t>
  </si>
  <si>
    <t>Cotizacion No.2</t>
  </si>
  <si>
    <t>Cotizacion No.3</t>
  </si>
  <si>
    <t>Cotizacion No.4</t>
  </si>
  <si>
    <t xml:space="preserve">Cotizacion No.4 </t>
  </si>
  <si>
    <t xml:space="preserve">ANALISIS ARITMETICO </t>
  </si>
  <si>
    <t>VALOR TECHO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</si>
</sst>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(* #,##0.00_);_(* \(#,##0.00\);_(* &quot;-&quot;??_);_(@_)"/>
    <numFmt numFmtId="169" formatCode="_(* #,##0_);_(* \(#,##0\);_(* &quot;-&quot;??_);_(@_)"/>
    <numFmt numFmtId="170" formatCode="_-* #,##0.00_-;\-* #,##0.00_-;_-* &quot;-&quot;_-;_-@_-"/>
    <numFmt numFmtId="171" formatCode="0.0%"/>
    <numFmt numFmtId="172" formatCode="&quot;$&quot;\ #,##0.00"/>
    <numFmt numFmtId="173" formatCode="_(&quot;$&quot;* #,##0.00_);_(&quot;$&quot;* \(#,##0.00\);_(&quot;$&quot;* &quot;-&quot;??_);_(@_)"/>
    <numFmt numFmtId="174" formatCode="_(&quot;$&quot;\ * #,##0_);_(&quot;$&quot;\ * \(#,##0\);_(&quot;$&quot;\ * &quot;-&quot;??_);_(@_)"/>
    <numFmt numFmtId="175" formatCode="_(&quot;$&quot;\ * #,##0.00_);_(&quot;$&quot;\ * \(#,##0.00\);_(&quot;$&quot;\ * &quot;-&quot;??_);_(@_)"/>
    <numFmt numFmtId="176" formatCode="_-&quot;$&quot;\ * #,##0_-;\-&quot;$&quot;\ * #,##0_-;_-&quot;$&quot;\ * &quot;-&quot;??_-;_-@_-"/>
    <numFmt numFmtId="177" formatCode="#,##0.0"/>
    <numFmt numFmtId="178" formatCode="&quot;$&quot;\ #,##0.0;[Red]\-&quot;$&quot;\ #,##0.0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2"/>
      <color rgb="FFFA7D00"/>
      <name val="Calibri"/>
      <family val="2"/>
      <scheme val="minor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1"/>
      <name val="Arial"/>
      <family val="2"/>
    </font>
    <font>
      <sz val="12"/>
      <color rgb="FF0000CC"/>
      <name val="Arial"/>
      <family val="2"/>
    </font>
    <font>
      <sz val="11"/>
      <color rgb="FF0000CC"/>
      <name val="Arial"/>
      <family val="2"/>
    </font>
    <font>
      <sz val="12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33CC"/>
      <name val="Arial"/>
      <family val="2"/>
    </font>
    <font>
      <sz val="12"/>
      <color theme="0" tint="-0.14999847407452621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rgb="FF9C6500"/>
      <name val="Calibri"/>
      <family val="2"/>
      <scheme val="minor"/>
    </font>
    <font>
      <sz val="10"/>
      <color rgb="FF9C6500"/>
      <name val="Arial"/>
      <family val="2"/>
    </font>
    <font>
      <sz val="9"/>
      <color rgb="FF000000"/>
      <name val="Arial"/>
      <family val="2"/>
    </font>
    <font>
      <b/>
      <sz val="20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9"/>
      <color theme="1"/>
      <name val="Arial Narrow"/>
      <family val="2"/>
    </font>
    <font>
      <sz val="11"/>
      <name val="Arial Narrow"/>
      <family val="2"/>
    </font>
    <font>
      <u/>
      <sz val="11"/>
      <color theme="1"/>
      <name val="Arial"/>
      <family val="2"/>
    </font>
    <font>
      <sz val="9"/>
      <color rgb="FF000000"/>
      <name val="Arial Narrow"/>
      <family val="2"/>
    </font>
    <font>
      <b/>
      <sz val="10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9"/>
      <color rgb="FF000000"/>
      <name val="Arial Narrow"/>
      <family val="2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22"/>
      <name val="Arial"/>
      <family val="2"/>
    </font>
    <font>
      <b/>
      <sz val="12"/>
      <name val="Arial Black"/>
      <family val="2"/>
    </font>
    <font>
      <b/>
      <sz val="8"/>
      <name val="Calibri"/>
      <family val="2"/>
      <scheme val="minor"/>
    </font>
    <font>
      <b/>
      <sz val="1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rgb="FF00B050"/>
      <name val="Arial"/>
      <family val="2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9"/>
      <name val="Calibri Light"/>
      <family val="2"/>
      <scheme val="major"/>
    </font>
    <font>
      <sz val="9"/>
      <color rgb="FF000000"/>
      <name val="Calibri Light"/>
      <family val="2"/>
      <scheme val="major"/>
    </font>
    <font>
      <sz val="9"/>
      <color rgb="FFFF0000"/>
      <name val="Calibri Light"/>
      <family val="2"/>
      <scheme val="major"/>
    </font>
    <font>
      <b/>
      <sz val="10"/>
      <color theme="0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BFFFF"/>
        <bgColor indexed="64"/>
      </patternFill>
    </fill>
    <fill>
      <patternFill patternType="solid">
        <fgColor rgb="FFFB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EB9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hair">
        <color rgb="FF0033CC"/>
      </left>
      <right style="hair">
        <color rgb="FF0033CC"/>
      </right>
      <top style="hair">
        <color rgb="FF0033CC"/>
      </top>
      <bottom style="hair">
        <color rgb="FF0033CC"/>
      </bottom>
      <diagonal/>
    </border>
    <border>
      <left style="hair">
        <color rgb="FF0033CC"/>
      </left>
      <right style="hair">
        <color rgb="FF0033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0033CC"/>
      </left>
      <right/>
      <top style="hair">
        <color rgb="FF0033CC"/>
      </top>
      <bottom style="hair">
        <color rgb="FF0033CC"/>
      </bottom>
      <diagonal/>
    </border>
    <border>
      <left/>
      <right style="hair">
        <color rgb="FF0033CC"/>
      </right>
      <top style="hair">
        <color rgb="FF0033CC"/>
      </top>
      <bottom style="hair">
        <color rgb="FF0033CC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33CC"/>
      </left>
      <right style="hair">
        <color rgb="FF0033CC"/>
      </right>
      <top/>
      <bottom style="hair">
        <color rgb="FF0033CC"/>
      </bottom>
      <diagonal/>
    </border>
    <border>
      <left style="hair">
        <color rgb="FF0033CC"/>
      </left>
      <right/>
      <top/>
      <bottom style="hair">
        <color rgb="FF0033CC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rgb="FF0033CC"/>
      </right>
      <top/>
      <bottom style="hair">
        <color rgb="FF0033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5" fillId="0" borderId="0"/>
    <xf numFmtId="16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33" fillId="18" borderId="0" applyNumberFormat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532">
    <xf numFmtId="0" fontId="0" fillId="0" borderId="0" xfId="0"/>
    <xf numFmtId="0" fontId="4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8" fontId="8" fillId="4" borderId="0" xfId="6" applyFont="1" applyFill="1" applyAlignment="1">
      <alignment horizontal="center" vertical="center"/>
    </xf>
    <xf numFmtId="168" fontId="8" fillId="4" borderId="0" xfId="6" applyFont="1" applyFill="1" applyBorder="1" applyAlignment="1">
      <alignment horizontal="center" vertical="center"/>
    </xf>
    <xf numFmtId="168" fontId="9" fillId="0" borderId="0" xfId="4" applyNumberFormat="1" applyFont="1" applyFill="1" applyBorder="1" applyAlignment="1">
      <alignment horizontal="right" vertical="center"/>
    </xf>
    <xf numFmtId="169" fontId="8" fillId="0" borderId="0" xfId="6" applyNumberFormat="1" applyFont="1" applyFill="1" applyBorder="1" applyAlignment="1">
      <alignment horizontal="left" vertical="center"/>
    </xf>
    <xf numFmtId="10" fontId="8" fillId="0" borderId="0" xfId="2" applyNumberFormat="1" applyFont="1" applyFill="1" applyBorder="1" applyAlignment="1">
      <alignment horizontal="right" vertical="center"/>
    </xf>
    <xf numFmtId="0" fontId="8" fillId="4" borderId="0" xfId="5" applyFont="1" applyFill="1" applyAlignment="1">
      <alignment horizontal="right" vertical="center"/>
    </xf>
    <xf numFmtId="41" fontId="8" fillId="0" borderId="0" xfId="7" applyFont="1" applyFill="1" applyAlignment="1">
      <alignment horizontal="center" vertical="center"/>
    </xf>
    <xf numFmtId="169" fontId="8" fillId="4" borderId="0" xfId="6" applyNumberFormat="1" applyFont="1" applyFill="1" applyAlignment="1">
      <alignment horizontal="center" vertical="center"/>
    </xf>
    <xf numFmtId="168" fontId="8" fillId="0" borderId="0" xfId="6" applyFont="1" applyFill="1" applyBorder="1" applyAlignment="1">
      <alignment horizontal="left" vertical="center"/>
    </xf>
    <xf numFmtId="0" fontId="6" fillId="4" borderId="0" xfId="5" applyFont="1" applyFill="1" applyAlignment="1">
      <alignment horizontal="center" vertical="center"/>
    </xf>
    <xf numFmtId="170" fontId="8" fillId="0" borderId="0" xfId="7" applyNumberFormat="1" applyFont="1" applyFill="1" applyAlignment="1">
      <alignment horizontal="center" vertical="center"/>
    </xf>
    <xf numFmtId="169" fontId="6" fillId="4" borderId="0" xfId="6" applyNumberFormat="1" applyFont="1" applyFill="1" applyAlignment="1">
      <alignment horizontal="center" vertical="center"/>
    </xf>
    <xf numFmtId="171" fontId="6" fillId="4" borderId="0" xfId="2" applyNumberFormat="1" applyFont="1" applyFill="1" applyAlignment="1">
      <alignment horizontal="center" vertical="center"/>
    </xf>
    <xf numFmtId="41" fontId="6" fillId="4" borderId="0" xfId="7" applyFont="1" applyFill="1" applyAlignment="1">
      <alignment horizontal="center" vertical="center"/>
    </xf>
    <xf numFmtId="41" fontId="6" fillId="4" borderId="0" xfId="7" applyFont="1" applyFill="1" applyBorder="1" applyAlignment="1">
      <alignment horizontal="center" vertical="center"/>
    </xf>
    <xf numFmtId="10" fontId="9" fillId="0" borderId="0" xfId="4" applyNumberFormat="1" applyFont="1" applyFill="1" applyBorder="1" applyAlignment="1">
      <alignment horizontal="right" vertical="center"/>
    </xf>
    <xf numFmtId="41" fontId="6" fillId="0" borderId="0" xfId="1" applyFont="1" applyFill="1" applyBorder="1" applyAlignment="1">
      <alignment horizontal="left" vertical="center"/>
    </xf>
    <xf numFmtId="10" fontId="6" fillId="4" borderId="0" xfId="2" applyNumberFormat="1" applyFont="1" applyFill="1" applyAlignment="1">
      <alignment horizontal="center" vertical="center"/>
    </xf>
    <xf numFmtId="41" fontId="8" fillId="5" borderId="0" xfId="7" applyFont="1" applyFill="1" applyAlignment="1">
      <alignment horizontal="center" vertical="center"/>
    </xf>
    <xf numFmtId="41" fontId="8" fillId="4" borderId="0" xfId="7" applyFont="1" applyFill="1" applyAlignment="1">
      <alignment horizontal="center" vertical="center"/>
    </xf>
    <xf numFmtId="172" fontId="6" fillId="0" borderId="0" xfId="2" applyNumberFormat="1" applyFont="1" applyFill="1" applyBorder="1" applyAlignment="1">
      <alignment horizontal="right" vertical="center"/>
    </xf>
    <xf numFmtId="10" fontId="8" fillId="4" borderId="0" xfId="2" applyNumberFormat="1" applyFont="1" applyFill="1" applyAlignment="1">
      <alignment horizontal="center" vertical="center"/>
    </xf>
    <xf numFmtId="10" fontId="9" fillId="0" borderId="0" xfId="4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9" fontId="8" fillId="5" borderId="0" xfId="6" applyNumberFormat="1" applyFont="1" applyFill="1" applyAlignment="1">
      <alignment horizontal="center" vertical="center"/>
    </xf>
    <xf numFmtId="41" fontId="10" fillId="4" borderId="0" xfId="7" applyFont="1" applyFill="1" applyBorder="1" applyAlignment="1">
      <alignment horizontal="center" vertical="center"/>
    </xf>
    <xf numFmtId="41" fontId="11" fillId="4" borderId="0" xfId="7" applyFont="1" applyFill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0" xfId="0" applyFont="1" applyFill="1" applyAlignment="1">
      <alignment vertical="center"/>
    </xf>
    <xf numFmtId="3" fontId="8" fillId="0" borderId="2" xfId="5" applyNumberFormat="1" applyFont="1" applyBorder="1" applyAlignment="1">
      <alignment horizontal="center" vertical="center"/>
    </xf>
    <xf numFmtId="3" fontId="8" fillId="8" borderId="2" xfId="5" applyNumberFormat="1" applyFont="1" applyFill="1" applyBorder="1" applyAlignment="1">
      <alignment horizontal="left" vertical="center" wrapText="1"/>
    </xf>
    <xf numFmtId="3" fontId="8" fillId="8" borderId="2" xfId="5" applyNumberFormat="1" applyFont="1" applyFill="1" applyBorder="1" applyAlignment="1">
      <alignment horizontal="center" vertical="center" wrapText="1"/>
    </xf>
    <xf numFmtId="3" fontId="8" fillId="0" borderId="2" xfId="5" applyNumberFormat="1" applyFont="1" applyBorder="1" applyAlignment="1">
      <alignment horizontal="center" vertical="center" wrapText="1"/>
    </xf>
    <xf numFmtId="10" fontId="8" fillId="8" borderId="2" xfId="2" applyNumberFormat="1" applyFont="1" applyFill="1" applyBorder="1" applyAlignment="1">
      <alignment horizontal="center" vertical="center"/>
    </xf>
    <xf numFmtId="41" fontId="8" fillId="8" borderId="2" xfId="7" applyFont="1" applyFill="1" applyBorder="1" applyAlignment="1">
      <alignment horizontal="center" vertical="center"/>
    </xf>
    <xf numFmtId="171" fontId="8" fillId="8" borderId="2" xfId="2" applyNumberFormat="1" applyFont="1" applyFill="1" applyBorder="1" applyAlignment="1">
      <alignment horizontal="center" vertical="center"/>
    </xf>
    <xf numFmtId="37" fontId="8" fillId="8" borderId="2" xfId="8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vertical="center"/>
    </xf>
    <xf numFmtId="41" fontId="4" fillId="8" borderId="2" xfId="7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41" fontId="15" fillId="0" borderId="2" xfId="7" applyFont="1" applyFill="1" applyBorder="1" applyAlignment="1">
      <alignment horizontal="center" vertical="center"/>
    </xf>
    <xf numFmtId="171" fontId="15" fillId="0" borderId="2" xfId="2" applyNumberFormat="1" applyFont="1" applyFill="1" applyBorder="1" applyAlignment="1">
      <alignment horizontal="center" vertical="center"/>
    </xf>
    <xf numFmtId="41" fontId="15" fillId="8" borderId="2" xfId="7" applyFont="1" applyFill="1" applyBorder="1" applyAlignment="1">
      <alignment horizontal="center" vertical="center"/>
    </xf>
    <xf numFmtId="37" fontId="15" fillId="8" borderId="2" xfId="8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10" fontId="8" fillId="0" borderId="2" xfId="2" applyNumberFormat="1" applyFont="1" applyFill="1" applyBorder="1" applyAlignment="1">
      <alignment horizontal="center" vertical="center"/>
    </xf>
    <xf numFmtId="41" fontId="8" fillId="0" borderId="2" xfId="7" applyFont="1" applyFill="1" applyBorder="1" applyAlignment="1">
      <alignment horizontal="center" vertical="center"/>
    </xf>
    <xf numFmtId="171" fontId="8" fillId="0" borderId="2" xfId="2" applyNumberFormat="1" applyFont="1" applyFill="1" applyBorder="1" applyAlignment="1">
      <alignment horizontal="center" vertical="center"/>
    </xf>
    <xf numFmtId="37" fontId="8" fillId="0" borderId="2" xfId="8" applyNumberFormat="1" applyFont="1" applyFill="1" applyBorder="1" applyAlignment="1">
      <alignment horizontal="center" vertical="center"/>
    </xf>
    <xf numFmtId="3" fontId="8" fillId="0" borderId="2" xfId="5" applyNumberFormat="1" applyFont="1" applyBorder="1" applyAlignment="1">
      <alignment horizontal="left" vertical="center" wrapText="1"/>
    </xf>
    <xf numFmtId="41" fontId="4" fillId="0" borderId="2" xfId="7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3" fontId="4" fillId="8" borderId="2" xfId="5" applyNumberFormat="1" applyFont="1" applyFill="1" applyBorder="1" applyAlignment="1">
      <alignment horizontal="center" vertical="center" wrapText="1"/>
    </xf>
    <xf numFmtId="171" fontId="4" fillId="8" borderId="2" xfId="2" applyNumberFormat="1" applyFont="1" applyFill="1" applyBorder="1" applyAlignment="1">
      <alignment horizontal="center" vertical="center"/>
    </xf>
    <xf numFmtId="0" fontId="6" fillId="0" borderId="2" xfId="5" applyFont="1" applyBorder="1" applyAlignment="1">
      <alignment horizontal="left" vertical="center"/>
    </xf>
    <xf numFmtId="0" fontId="6" fillId="0" borderId="2" xfId="5" applyFont="1" applyBorder="1" applyAlignment="1">
      <alignment horizontal="left" vertical="center" wrapText="1"/>
    </xf>
    <xf numFmtId="0" fontId="6" fillId="0" borderId="2" xfId="5" applyFont="1" applyBorder="1" applyAlignment="1">
      <alignment vertical="center"/>
    </xf>
    <xf numFmtId="0" fontId="6" fillId="8" borderId="2" xfId="5" applyFont="1" applyFill="1" applyBorder="1" applyAlignment="1">
      <alignment vertical="center" wrapText="1"/>
    </xf>
    <xf numFmtId="0" fontId="6" fillId="8" borderId="2" xfId="5" applyFont="1" applyFill="1" applyBorder="1" applyAlignment="1">
      <alignment horizontal="left" vertical="center"/>
    </xf>
    <xf numFmtId="0" fontId="6" fillId="8" borderId="2" xfId="5" applyFont="1" applyFill="1" applyBorder="1" applyAlignment="1">
      <alignment vertical="center"/>
    </xf>
    <xf numFmtId="0" fontId="6" fillId="8" borderId="2" xfId="5" applyFont="1" applyFill="1" applyBorder="1" applyAlignment="1">
      <alignment horizontal="left" vertical="center" wrapText="1"/>
    </xf>
    <xf numFmtId="0" fontId="6" fillId="0" borderId="2" xfId="5" applyFont="1" applyBorder="1" applyAlignment="1">
      <alignment vertical="center" wrapText="1"/>
    </xf>
    <xf numFmtId="0" fontId="6" fillId="5" borderId="2" xfId="5" applyFont="1" applyFill="1" applyBorder="1" applyAlignment="1">
      <alignment vertical="center" wrapText="1"/>
    </xf>
    <xf numFmtId="3" fontId="8" fillId="5" borderId="2" xfId="5" applyNumberFormat="1" applyFont="1" applyFill="1" applyBorder="1" applyAlignment="1">
      <alignment horizontal="center" vertical="center"/>
    </xf>
    <xf numFmtId="3" fontId="4" fillId="5" borderId="2" xfId="5" applyNumberFormat="1" applyFont="1" applyFill="1" applyBorder="1" applyAlignment="1">
      <alignment horizontal="left" vertical="center" wrapText="1"/>
    </xf>
    <xf numFmtId="3" fontId="8" fillId="5" borderId="2" xfId="5" applyNumberFormat="1" applyFont="1" applyFill="1" applyBorder="1" applyAlignment="1">
      <alignment horizontal="center" vertical="center" wrapText="1"/>
    </xf>
    <xf numFmtId="3" fontId="12" fillId="5" borderId="0" xfId="0" applyNumberFormat="1" applyFont="1" applyFill="1" applyAlignment="1">
      <alignment horizontal="center" vertical="center"/>
    </xf>
    <xf numFmtId="169" fontId="8" fillId="5" borderId="2" xfId="6" applyNumberFormat="1" applyFont="1" applyFill="1" applyBorder="1" applyAlignment="1">
      <alignment horizontal="center" vertical="center"/>
    </xf>
    <xf numFmtId="10" fontId="8" fillId="5" borderId="2" xfId="2" applyNumberFormat="1" applyFont="1" applyFill="1" applyBorder="1" applyAlignment="1">
      <alignment horizontal="center" vertical="center"/>
    </xf>
    <xf numFmtId="41" fontId="8" fillId="5" borderId="2" xfId="7" applyFont="1" applyFill="1" applyBorder="1" applyAlignment="1">
      <alignment horizontal="center" vertical="center"/>
    </xf>
    <xf numFmtId="171" fontId="8" fillId="5" borderId="2" xfId="2" applyNumberFormat="1" applyFont="1" applyFill="1" applyBorder="1" applyAlignment="1">
      <alignment horizontal="center" vertical="center"/>
    </xf>
    <xf numFmtId="37" fontId="8" fillId="5" borderId="2" xfId="8" applyNumberFormat="1" applyFont="1" applyFill="1" applyBorder="1" applyAlignment="1">
      <alignment horizontal="center" vertical="center"/>
    </xf>
    <xf numFmtId="169" fontId="6" fillId="10" borderId="2" xfId="6" applyNumberFormat="1" applyFont="1" applyFill="1" applyBorder="1" applyAlignment="1">
      <alignment horizontal="center" vertical="center" wrapText="1"/>
    </xf>
    <xf numFmtId="171" fontId="6" fillId="10" borderId="2" xfId="2" applyNumberFormat="1" applyFont="1" applyFill="1" applyBorder="1" applyAlignment="1">
      <alignment horizontal="center" vertical="center" wrapText="1"/>
    </xf>
    <xf numFmtId="41" fontId="6" fillId="10" borderId="2" xfId="2" applyNumberFormat="1" applyFont="1" applyFill="1" applyBorder="1" applyAlignment="1">
      <alignment horizontal="center" vertical="center" wrapText="1"/>
    </xf>
    <xf numFmtId="41" fontId="6" fillId="10" borderId="2" xfId="7" applyFont="1" applyFill="1" applyBorder="1" applyAlignment="1">
      <alignment horizontal="center" vertical="center" wrapText="1"/>
    </xf>
    <xf numFmtId="41" fontId="6" fillId="10" borderId="3" xfId="7" applyFont="1" applyFill="1" applyBorder="1" applyAlignment="1">
      <alignment horizontal="center" vertical="center" wrapText="1"/>
    </xf>
    <xf numFmtId="41" fontId="4" fillId="4" borderId="0" xfId="7" applyFont="1" applyFill="1" applyAlignment="1">
      <alignment vertical="center"/>
    </xf>
    <xf numFmtId="41" fontId="6" fillId="4" borderId="0" xfId="7" applyFont="1" applyFill="1" applyBorder="1" applyAlignment="1">
      <alignment horizontal="center" vertical="center" wrapText="1"/>
    </xf>
    <xf numFmtId="41" fontId="6" fillId="4" borderId="0" xfId="7" applyFont="1" applyFill="1" applyBorder="1" applyAlignment="1">
      <alignment vertical="center" wrapText="1"/>
    </xf>
    <xf numFmtId="41" fontId="7" fillId="0" borderId="0" xfId="7" applyFont="1" applyFill="1" applyAlignment="1">
      <alignment vertical="center"/>
    </xf>
    <xf numFmtId="41" fontId="4" fillId="4" borderId="0" xfId="0" applyNumberFormat="1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169" fontId="4" fillId="4" borderId="0" xfId="6" applyNumberFormat="1" applyFont="1" applyFill="1" applyAlignment="1">
      <alignment horizontal="left" vertical="center"/>
    </xf>
    <xf numFmtId="10" fontId="19" fillId="4" borderId="0" xfId="2" applyNumberFormat="1" applyFont="1" applyFill="1" applyAlignment="1">
      <alignment horizontal="left" vertical="center"/>
    </xf>
    <xf numFmtId="41" fontId="13" fillId="4" borderId="0" xfId="7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3" fontId="4" fillId="4" borderId="0" xfId="0" applyNumberFormat="1" applyFont="1" applyFill="1" applyAlignment="1">
      <alignment horizontal="center" vertical="center"/>
    </xf>
    <xf numFmtId="169" fontId="4" fillId="4" borderId="0" xfId="6" applyNumberFormat="1" applyFont="1" applyFill="1" applyAlignment="1">
      <alignment vertical="center"/>
    </xf>
    <xf numFmtId="10" fontId="19" fillId="4" borderId="0" xfId="2" applyNumberFormat="1" applyFont="1" applyFill="1" applyAlignment="1">
      <alignment vertical="center"/>
    </xf>
    <xf numFmtId="41" fontId="13" fillId="4" borderId="0" xfId="7" applyFont="1" applyFill="1" applyAlignment="1">
      <alignment vertical="center"/>
    </xf>
    <xf numFmtId="3" fontId="18" fillId="4" borderId="4" xfId="0" applyNumberFormat="1" applyFont="1" applyFill="1" applyBorder="1" applyAlignment="1">
      <alignment horizontal="center" vertical="center"/>
    </xf>
    <xf numFmtId="174" fontId="8" fillId="4" borderId="4" xfId="8" applyNumberFormat="1" applyFont="1" applyFill="1" applyBorder="1" applyAlignment="1">
      <alignment horizontal="center" vertical="center"/>
    </xf>
    <xf numFmtId="174" fontId="8" fillId="4" borderId="0" xfId="8" applyNumberFormat="1" applyFont="1" applyFill="1" applyBorder="1" applyAlignment="1">
      <alignment horizontal="center" vertical="center"/>
    </xf>
    <xf numFmtId="174" fontId="6" fillId="4" borderId="4" xfId="8" applyNumberFormat="1" applyFont="1" applyFill="1" applyBorder="1" applyAlignment="1">
      <alignment horizontal="center" vertical="center"/>
    </xf>
    <xf numFmtId="174" fontId="6" fillId="4" borderId="0" xfId="8" applyNumberFormat="1" applyFont="1" applyFill="1" applyBorder="1" applyAlignment="1">
      <alignment horizontal="center" vertical="center"/>
    </xf>
    <xf numFmtId="37" fontId="4" fillId="4" borderId="0" xfId="0" applyNumberFormat="1" applyFont="1" applyFill="1" applyAlignment="1">
      <alignment vertical="center"/>
    </xf>
    <xf numFmtId="0" fontId="18" fillId="4" borderId="0" xfId="0" applyFont="1" applyFill="1" applyAlignment="1">
      <alignment vertical="center"/>
    </xf>
    <xf numFmtId="174" fontId="6" fillId="11" borderId="4" xfId="8" applyNumberFormat="1" applyFont="1" applyFill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174" fontId="4" fillId="0" borderId="0" xfId="0" applyNumberFormat="1" applyFont="1" applyAlignment="1">
      <alignment vertical="center"/>
    </xf>
    <xf numFmtId="0" fontId="4" fillId="4" borderId="5" xfId="0" applyFont="1" applyFill="1" applyBorder="1" applyAlignment="1">
      <alignment vertical="center"/>
    </xf>
    <xf numFmtId="169" fontId="18" fillId="4" borderId="4" xfId="6" applyNumberFormat="1" applyFont="1" applyFill="1" applyBorder="1" applyAlignment="1">
      <alignment horizontal="left" vertical="center"/>
    </xf>
    <xf numFmtId="41" fontId="13" fillId="4" borderId="0" xfId="7" applyFont="1" applyFill="1" applyBorder="1" applyAlignment="1">
      <alignment horizontal="center" vertical="center"/>
    </xf>
    <xf numFmtId="41" fontId="20" fillId="4" borderId="0" xfId="7" applyFont="1" applyFill="1" applyBorder="1" applyAlignment="1">
      <alignment horizontal="center" vertical="center"/>
    </xf>
    <xf numFmtId="3" fontId="18" fillId="4" borderId="4" xfId="0" applyNumberFormat="1" applyFont="1" applyFill="1" applyBorder="1" applyAlignment="1">
      <alignment vertical="center"/>
    </xf>
    <xf numFmtId="174" fontId="8" fillId="4" borderId="4" xfId="8" applyNumberFormat="1" applyFont="1" applyFill="1" applyBorder="1" applyAlignment="1">
      <alignment vertical="center"/>
    </xf>
    <xf numFmtId="41" fontId="21" fillId="4" borderId="0" xfId="7" applyFont="1" applyFill="1" applyBorder="1" applyAlignment="1">
      <alignment horizontal="center" vertical="center"/>
    </xf>
    <xf numFmtId="167" fontId="8" fillId="4" borderId="0" xfId="0" applyNumberFormat="1" applyFont="1" applyFill="1" applyAlignment="1">
      <alignment horizontal="center" vertical="center"/>
    </xf>
    <xf numFmtId="174" fontId="10" fillId="4" borderId="0" xfId="0" applyNumberFormat="1" applyFont="1" applyFill="1" applyAlignment="1">
      <alignment vertical="center"/>
    </xf>
    <xf numFmtId="174" fontId="6" fillId="14" borderId="6" xfId="8" applyNumberFormat="1" applyFont="1" applyFill="1" applyBorder="1" applyAlignment="1">
      <alignment vertical="center"/>
    </xf>
    <xf numFmtId="175" fontId="6" fillId="14" borderId="8" xfId="8" applyNumberFormat="1" applyFont="1" applyFill="1" applyBorder="1" applyAlignment="1">
      <alignment vertical="center"/>
    </xf>
    <xf numFmtId="41" fontId="21" fillId="0" borderId="0" xfId="7" applyFont="1" applyFill="1" applyBorder="1" applyAlignment="1">
      <alignment horizontal="center" vertical="center"/>
    </xf>
    <xf numFmtId="174" fontId="20" fillId="4" borderId="0" xfId="0" applyNumberFormat="1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8" fillId="0" borderId="0" xfId="0" applyFont="1" applyAlignment="1">
      <alignment vertical="center"/>
    </xf>
    <xf numFmtId="169" fontId="18" fillId="12" borderId="4" xfId="6" applyNumberFormat="1" applyFont="1" applyFill="1" applyBorder="1" applyAlignment="1">
      <alignment vertical="center"/>
    </xf>
    <xf numFmtId="175" fontId="6" fillId="14" borderId="13" xfId="8" applyNumberFormat="1" applyFont="1" applyFill="1" applyBorder="1" applyAlignment="1">
      <alignment vertical="center"/>
    </xf>
    <xf numFmtId="175" fontId="6" fillId="14" borderId="14" xfId="8" applyNumberFormat="1" applyFont="1" applyFill="1" applyBorder="1" applyAlignment="1">
      <alignment vertical="center"/>
    </xf>
    <xf numFmtId="41" fontId="18" fillId="0" borderId="0" xfId="7" applyFont="1" applyFill="1" applyBorder="1" applyAlignment="1">
      <alignment vertical="center"/>
    </xf>
    <xf numFmtId="41" fontId="18" fillId="0" borderId="0" xfId="7" applyFont="1" applyFill="1" applyBorder="1" applyAlignment="1">
      <alignment horizontal="center" vertical="center"/>
    </xf>
    <xf numFmtId="10" fontId="18" fillId="0" borderId="0" xfId="2" applyNumberFormat="1" applyFont="1" applyFill="1" applyBorder="1" applyAlignment="1">
      <alignment horizontal="center" vertical="center"/>
    </xf>
    <xf numFmtId="169" fontId="18" fillId="0" borderId="0" xfId="6" applyNumberFormat="1" applyFont="1" applyFill="1" applyBorder="1" applyAlignment="1">
      <alignment vertical="center"/>
    </xf>
    <xf numFmtId="175" fontId="18" fillId="0" borderId="0" xfId="2" applyNumberFormat="1" applyFont="1" applyFill="1" applyBorder="1" applyAlignment="1">
      <alignment vertical="center"/>
    </xf>
    <xf numFmtId="10" fontId="18" fillId="0" borderId="0" xfId="2" applyNumberFormat="1" applyFont="1" applyFill="1" applyBorder="1" applyAlignment="1">
      <alignment vertical="center"/>
    </xf>
    <xf numFmtId="169" fontId="4" fillId="0" borderId="0" xfId="6" applyNumberFormat="1" applyFont="1" applyFill="1" applyBorder="1" applyAlignment="1">
      <alignment vertical="center"/>
    </xf>
    <xf numFmtId="171" fontId="4" fillId="0" borderId="0" xfId="2" applyNumberFormat="1" applyFont="1" applyFill="1" applyBorder="1" applyAlignment="1">
      <alignment vertical="center"/>
    </xf>
    <xf numFmtId="41" fontId="4" fillId="0" borderId="0" xfId="7" applyFont="1" applyFill="1" applyBorder="1" applyAlignment="1">
      <alignment vertical="center"/>
    </xf>
    <xf numFmtId="41" fontId="4" fillId="0" borderId="0" xfId="7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vertical="center"/>
    </xf>
    <xf numFmtId="169" fontId="4" fillId="0" borderId="0" xfId="6" applyNumberFormat="1" applyFont="1" applyFill="1" applyBorder="1" applyAlignment="1">
      <alignment horizontal="right" vertical="center"/>
    </xf>
    <xf numFmtId="171" fontId="4" fillId="0" borderId="0" xfId="2" applyNumberFormat="1" applyFont="1" applyFill="1" applyBorder="1" applyAlignment="1">
      <alignment horizontal="right" vertical="center"/>
    </xf>
    <xf numFmtId="41" fontId="4" fillId="0" borderId="0" xfId="7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169" fontId="7" fillId="0" borderId="0" xfId="6" applyNumberFormat="1" applyFont="1" applyFill="1" applyBorder="1" applyAlignment="1">
      <alignment vertical="center"/>
    </xf>
    <xf numFmtId="171" fontId="7" fillId="0" borderId="0" xfId="2" applyNumberFormat="1" applyFont="1" applyFill="1" applyBorder="1" applyAlignment="1">
      <alignment vertical="center"/>
    </xf>
    <xf numFmtId="41" fontId="7" fillId="0" borderId="0" xfId="7" applyFont="1" applyFill="1" applyBorder="1" applyAlignment="1">
      <alignment vertical="center"/>
    </xf>
    <xf numFmtId="41" fontId="7" fillId="0" borderId="0" xfId="7" applyFont="1" applyFill="1" applyBorder="1" applyAlignment="1">
      <alignment horizontal="center" vertical="center"/>
    </xf>
    <xf numFmtId="10" fontId="7" fillId="0" borderId="0" xfId="2" applyNumberFormat="1" applyFont="1" applyFill="1" applyBorder="1" applyAlignment="1">
      <alignment horizontal="center" vertical="center"/>
    </xf>
    <xf numFmtId="10" fontId="7" fillId="0" borderId="0" xfId="2" applyNumberFormat="1" applyFont="1" applyFill="1" applyBorder="1" applyAlignment="1">
      <alignment vertical="center"/>
    </xf>
    <xf numFmtId="169" fontId="7" fillId="0" borderId="0" xfId="6" applyNumberFormat="1" applyFont="1" applyFill="1" applyAlignment="1">
      <alignment vertical="center"/>
    </xf>
    <xf numFmtId="171" fontId="7" fillId="0" borderId="0" xfId="2" applyNumberFormat="1" applyFont="1" applyFill="1" applyAlignment="1">
      <alignment vertical="center"/>
    </xf>
    <xf numFmtId="41" fontId="7" fillId="0" borderId="0" xfId="7" applyFont="1" applyFill="1" applyAlignment="1">
      <alignment horizontal="center" vertical="center"/>
    </xf>
    <xf numFmtId="10" fontId="7" fillId="0" borderId="0" xfId="2" applyNumberFormat="1" applyFont="1" applyFill="1" applyAlignment="1">
      <alignment horizontal="center" vertical="center"/>
    </xf>
    <xf numFmtId="10" fontId="7" fillId="0" borderId="0" xfId="2" applyNumberFormat="1" applyFont="1" applyFill="1" applyAlignment="1">
      <alignment vertical="center"/>
    </xf>
    <xf numFmtId="3" fontId="18" fillId="12" borderId="4" xfId="0" applyNumberFormat="1" applyFont="1" applyFill="1" applyBorder="1" applyAlignment="1">
      <alignment horizontal="center" vertical="center"/>
    </xf>
    <xf numFmtId="3" fontId="8" fillId="0" borderId="17" xfId="5" applyNumberFormat="1" applyFont="1" applyBorder="1" applyAlignment="1">
      <alignment horizontal="center" vertical="center" wrapText="1"/>
    </xf>
    <xf numFmtId="3" fontId="4" fillId="0" borderId="17" xfId="5" applyNumberFormat="1" applyFont="1" applyBorder="1" applyAlignment="1">
      <alignment horizontal="center" vertical="center" wrapText="1"/>
    </xf>
    <xf numFmtId="3" fontId="8" fillId="8" borderId="17" xfId="5" applyNumberFormat="1" applyFont="1" applyFill="1" applyBorder="1" applyAlignment="1">
      <alignment horizontal="center" vertical="center" wrapText="1"/>
    </xf>
    <xf numFmtId="169" fontId="8" fillId="8" borderId="18" xfId="6" applyNumberFormat="1" applyFont="1" applyFill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3" fontId="17" fillId="0" borderId="19" xfId="0" applyNumberFormat="1" applyFont="1" applyBorder="1" applyAlignment="1">
      <alignment horizontal="center" vertical="center"/>
    </xf>
    <xf numFmtId="0" fontId="4" fillId="0" borderId="0" xfId="0" applyFont="1"/>
    <xf numFmtId="3" fontId="8" fillId="0" borderId="20" xfId="5" applyNumberFormat="1" applyFont="1" applyBorder="1" applyAlignment="1">
      <alignment horizontal="center" vertical="center"/>
    </xf>
    <xf numFmtId="3" fontId="8" fillId="8" borderId="20" xfId="5" applyNumberFormat="1" applyFont="1" applyFill="1" applyBorder="1" applyAlignment="1">
      <alignment horizontal="left" vertical="center" wrapText="1"/>
    </xf>
    <xf numFmtId="3" fontId="8" fillId="8" borderId="20" xfId="5" applyNumberFormat="1" applyFont="1" applyFill="1" applyBorder="1" applyAlignment="1">
      <alignment horizontal="center" vertical="center" wrapText="1"/>
    </xf>
    <xf numFmtId="3" fontId="8" fillId="0" borderId="21" xfId="5" applyNumberFormat="1" applyFont="1" applyBorder="1" applyAlignment="1">
      <alignment horizontal="center" vertical="center" wrapText="1"/>
    </xf>
    <xf numFmtId="169" fontId="8" fillId="8" borderId="23" xfId="6" applyNumberFormat="1" applyFont="1" applyFill="1" applyBorder="1" applyAlignment="1">
      <alignment horizontal="center" vertical="center"/>
    </xf>
    <xf numFmtId="10" fontId="8" fillId="8" borderId="20" xfId="2" applyNumberFormat="1" applyFont="1" applyFill="1" applyBorder="1" applyAlignment="1">
      <alignment horizontal="center" vertical="center"/>
    </xf>
    <xf numFmtId="41" fontId="8" fillId="8" borderId="20" xfId="7" applyFont="1" applyFill="1" applyBorder="1" applyAlignment="1">
      <alignment horizontal="center" vertical="center"/>
    </xf>
    <xf numFmtId="171" fontId="8" fillId="8" borderId="20" xfId="2" applyNumberFormat="1" applyFont="1" applyFill="1" applyBorder="1" applyAlignment="1">
      <alignment horizontal="center" vertical="center"/>
    </xf>
    <xf numFmtId="37" fontId="8" fillId="8" borderId="20" xfId="8" applyNumberFormat="1" applyFont="1" applyFill="1" applyBorder="1" applyAlignment="1">
      <alignment horizontal="center" vertical="center"/>
    </xf>
    <xf numFmtId="0" fontId="6" fillId="6" borderId="19" xfId="5" applyFont="1" applyFill="1" applyBorder="1" applyAlignment="1">
      <alignment horizontal="center" vertical="center" wrapText="1"/>
    </xf>
    <xf numFmtId="3" fontId="6" fillId="6" borderId="19" xfId="5" applyNumberFormat="1" applyFont="1" applyFill="1" applyBorder="1" applyAlignment="1">
      <alignment horizontal="center" vertical="center" wrapText="1"/>
    </xf>
    <xf numFmtId="169" fontId="6" fillId="6" borderId="19" xfId="6" applyNumberFormat="1" applyFont="1" applyFill="1" applyBorder="1" applyAlignment="1">
      <alignment horizontal="center" vertical="center" wrapText="1"/>
    </xf>
    <xf numFmtId="10" fontId="6" fillId="6" borderId="19" xfId="2" applyNumberFormat="1" applyFont="1" applyFill="1" applyBorder="1" applyAlignment="1">
      <alignment horizontal="center" vertical="center" wrapText="1"/>
    </xf>
    <xf numFmtId="41" fontId="6" fillId="6" borderId="19" xfId="7" applyFont="1" applyFill="1" applyBorder="1" applyAlignment="1">
      <alignment horizontal="center" vertical="center" wrapText="1"/>
    </xf>
    <xf numFmtId="171" fontId="6" fillId="6" borderId="19" xfId="2" applyNumberFormat="1" applyFont="1" applyFill="1" applyBorder="1" applyAlignment="1">
      <alignment horizontal="center" vertical="center" wrapText="1"/>
    </xf>
    <xf numFmtId="3" fontId="6" fillId="7" borderId="19" xfId="5" applyNumberFormat="1" applyFont="1" applyFill="1" applyBorder="1" applyAlignment="1">
      <alignment horizontal="center" vertical="center" wrapText="1"/>
    </xf>
    <xf numFmtId="3" fontId="15" fillId="9" borderId="20" xfId="0" applyNumberFormat="1" applyFont="1" applyFill="1" applyBorder="1" applyAlignment="1">
      <alignment horizontal="center" vertical="center"/>
    </xf>
    <xf numFmtId="41" fontId="6" fillId="10" borderId="2" xfId="2" applyNumberFormat="1" applyFont="1" applyFill="1" applyBorder="1" applyAlignment="1">
      <alignment vertical="center" wrapText="1"/>
    </xf>
    <xf numFmtId="174" fontId="6" fillId="13" borderId="15" xfId="8" applyNumberFormat="1" applyFont="1" applyFill="1" applyBorder="1" applyAlignment="1">
      <alignment vertical="center"/>
    </xf>
    <xf numFmtId="174" fontId="6" fillId="13" borderId="16" xfId="8" applyNumberFormat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41" fontId="4" fillId="16" borderId="2" xfId="7" applyFont="1" applyFill="1" applyBorder="1" applyAlignment="1">
      <alignment horizontal="center" vertical="center"/>
    </xf>
    <xf numFmtId="0" fontId="0" fillId="0" borderId="4" xfId="0" applyBorder="1"/>
    <xf numFmtId="41" fontId="14" fillId="4" borderId="0" xfId="1" applyFont="1" applyFill="1" applyAlignment="1">
      <alignment vertical="center"/>
    </xf>
    <xf numFmtId="41" fontId="16" fillId="0" borderId="0" xfId="1" applyFont="1" applyAlignment="1">
      <alignment vertical="center"/>
    </xf>
    <xf numFmtId="41" fontId="7" fillId="4" borderId="0" xfId="1" applyFont="1" applyFill="1" applyAlignment="1">
      <alignment vertical="center"/>
    </xf>
    <xf numFmtId="41" fontId="7" fillId="0" borderId="0" xfId="1" applyFont="1" applyAlignment="1">
      <alignment vertical="center"/>
    </xf>
    <xf numFmtId="1" fontId="7" fillId="0" borderId="0" xfId="0" applyNumberFormat="1" applyFont="1" applyAlignment="1">
      <alignment vertical="center"/>
    </xf>
    <xf numFmtId="9" fontId="7" fillId="0" borderId="0" xfId="2" applyFont="1" applyAlignment="1">
      <alignment horizontal="center" vertical="center"/>
    </xf>
    <xf numFmtId="41" fontId="14" fillId="4" borderId="0" xfId="0" applyNumberFormat="1" applyFont="1" applyFill="1" applyAlignment="1">
      <alignment vertical="center"/>
    </xf>
    <xf numFmtId="0" fontId="28" fillId="0" borderId="0" xfId="5" applyFont="1" applyAlignment="1">
      <alignment vertical="center"/>
    </xf>
    <xf numFmtId="0" fontId="29" fillId="0" borderId="0" xfId="5" applyFont="1" applyAlignment="1">
      <alignment horizontal="center" vertical="center"/>
    </xf>
    <xf numFmtId="0" fontId="6" fillId="0" borderId="0" xfId="5" applyFont="1" applyAlignment="1">
      <alignment vertical="center"/>
    </xf>
    <xf numFmtId="169" fontId="6" fillId="0" borderId="0" xfId="6" applyNumberFormat="1" applyFont="1" applyAlignment="1">
      <alignment vertical="center"/>
    </xf>
    <xf numFmtId="0" fontId="30" fillId="0" borderId="0" xfId="5" applyFont="1" applyAlignment="1">
      <alignment horizontal="center" vertical="center"/>
    </xf>
    <xf numFmtId="169" fontId="6" fillId="0" borderId="0" xfId="6" applyNumberFormat="1" applyFont="1" applyFill="1" applyAlignment="1">
      <alignment vertical="center"/>
    </xf>
    <xf numFmtId="0" fontId="31" fillId="0" borderId="0" xfId="5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169" fontId="22" fillId="0" borderId="0" xfId="6" applyNumberFormat="1" applyFont="1" applyAlignment="1">
      <alignment horizontal="center" vertical="center"/>
    </xf>
    <xf numFmtId="0" fontId="31" fillId="0" borderId="4" xfId="5" applyFont="1" applyBorder="1" applyAlignment="1">
      <alignment horizontal="center" vertical="center" wrapText="1"/>
    </xf>
    <xf numFmtId="0" fontId="31" fillId="0" borderId="4" xfId="5" applyFont="1" applyBorder="1" applyAlignment="1">
      <alignment horizontal="left" vertical="center" wrapText="1"/>
    </xf>
    <xf numFmtId="3" fontId="31" fillId="0" borderId="4" xfId="5" applyNumberFormat="1" applyFont="1" applyBorder="1" applyAlignment="1">
      <alignment horizontal="center" vertical="center" wrapText="1"/>
    </xf>
    <xf numFmtId="169" fontId="31" fillId="0" borderId="4" xfId="6" applyNumberFormat="1" applyFont="1" applyFill="1" applyBorder="1" applyAlignment="1">
      <alignment horizontal="center" vertical="center" wrapText="1"/>
    </xf>
    <xf numFmtId="3" fontId="5" fillId="0" borderId="16" xfId="5" applyNumberFormat="1" applyBorder="1" applyAlignment="1">
      <alignment horizontal="left" vertical="center" wrapText="1"/>
    </xf>
    <xf numFmtId="3" fontId="5" fillId="0" borderId="4" xfId="5" applyNumberFormat="1" applyBorder="1" applyAlignment="1">
      <alignment horizontal="center" vertical="center"/>
    </xf>
    <xf numFmtId="169" fontId="5" fillId="0" borderId="4" xfId="6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169" fontId="7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34" fillId="0" borderId="4" xfId="9" applyFont="1" applyFill="1" applyBorder="1" applyAlignment="1">
      <alignment horizontal="left" vertical="center"/>
    </xf>
    <xf numFmtId="3" fontId="31" fillId="10" borderId="4" xfId="5" applyNumberFormat="1" applyFont="1" applyFill="1" applyBorder="1" applyAlignment="1">
      <alignment horizontal="left" vertical="center" wrapText="1"/>
    </xf>
    <xf numFmtId="3" fontId="31" fillId="10" borderId="4" xfId="5" applyNumberFormat="1" applyFont="1" applyFill="1" applyBorder="1" applyAlignment="1">
      <alignment horizontal="center" vertical="center" wrapText="1"/>
    </xf>
    <xf numFmtId="169" fontId="31" fillId="10" borderId="4" xfId="6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169" fontId="7" fillId="0" borderId="0" xfId="6" applyNumberFormat="1" applyFont="1" applyAlignment="1">
      <alignment vertical="center"/>
    </xf>
    <xf numFmtId="169" fontId="22" fillId="0" borderId="0" xfId="6" applyNumberFormat="1" applyFont="1" applyAlignment="1">
      <alignment vertical="center"/>
    </xf>
    <xf numFmtId="0" fontId="32" fillId="0" borderId="0" xfId="0" applyFont="1" applyAlignment="1">
      <alignment vertical="center"/>
    </xf>
    <xf numFmtId="49" fontId="39" fillId="0" borderId="0" xfId="6" applyNumberFormat="1" applyFont="1" applyAlignment="1">
      <alignment horizontal="left" vertical="center"/>
    </xf>
    <xf numFmtId="169" fontId="39" fillId="0" borderId="0" xfId="6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39" fillId="0" borderId="0" xfId="5" applyFont="1" applyAlignment="1">
      <alignment horizontal="left" vertical="center"/>
    </xf>
    <xf numFmtId="169" fontId="26" fillId="19" borderId="0" xfId="6" applyNumberFormat="1" applyFont="1" applyFill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169" fontId="23" fillId="0" borderId="0" xfId="6" applyNumberFormat="1" applyFont="1" applyAlignment="1">
      <alignment horizontal="center" vertical="center"/>
    </xf>
    <xf numFmtId="0" fontId="40" fillId="0" borderId="4" xfId="5" applyFont="1" applyBorder="1" applyAlignment="1">
      <alignment horizontal="center" vertical="center" wrapText="1"/>
    </xf>
    <xf numFmtId="0" fontId="40" fillId="0" borderId="4" xfId="5" applyFont="1" applyBorder="1" applyAlignment="1">
      <alignment horizontal="left" vertical="center" wrapText="1"/>
    </xf>
    <xf numFmtId="3" fontId="40" fillId="0" borderId="4" xfId="5" applyNumberFormat="1" applyFont="1" applyBorder="1" applyAlignment="1">
      <alignment horizontal="center" vertical="center" wrapText="1"/>
    </xf>
    <xf numFmtId="169" fontId="40" fillId="0" borderId="4" xfId="6" applyNumberFormat="1" applyFont="1" applyFill="1" applyBorder="1" applyAlignment="1">
      <alignment horizontal="center" vertical="center" wrapText="1"/>
    </xf>
    <xf numFmtId="169" fontId="42" fillId="0" borderId="4" xfId="6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0" fillId="21" borderId="4" xfId="0" applyFill="1" applyBorder="1"/>
    <xf numFmtId="0" fontId="7" fillId="21" borderId="4" xfId="0" applyFont="1" applyFill="1" applyBorder="1" applyAlignment="1">
      <alignment vertical="center"/>
    </xf>
    <xf numFmtId="0" fontId="43" fillId="0" borderId="0" xfId="0" applyFont="1" applyAlignment="1">
      <alignment vertical="center"/>
    </xf>
    <xf numFmtId="0" fontId="33" fillId="21" borderId="4" xfId="9" applyFill="1" applyBorder="1" applyAlignment="1">
      <alignment horizontal="left"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 wrapText="1"/>
    </xf>
    <xf numFmtId="169" fontId="23" fillId="0" borderId="0" xfId="6" applyNumberFormat="1" applyFont="1" applyAlignment="1">
      <alignment vertical="center"/>
    </xf>
    <xf numFmtId="169" fontId="45" fillId="0" borderId="4" xfId="6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vertical="center"/>
    </xf>
    <xf numFmtId="0" fontId="23" fillId="0" borderId="5" xfId="0" applyFont="1" applyBorder="1" applyAlignment="1">
      <alignment horizontal="left" vertical="center"/>
    </xf>
    <xf numFmtId="41" fontId="14" fillId="0" borderId="0" xfId="1" applyFont="1" applyAlignment="1">
      <alignment vertical="center"/>
    </xf>
    <xf numFmtId="0" fontId="24" fillId="0" borderId="0" xfId="0" applyFont="1" applyAlignment="1">
      <alignment vertical="center"/>
    </xf>
    <xf numFmtId="43" fontId="0" fillId="0" borderId="0" xfId="0" applyNumberFormat="1" applyAlignment="1">
      <alignment vertical="center"/>
    </xf>
    <xf numFmtId="4" fontId="7" fillId="0" borderId="0" xfId="0" applyNumberFormat="1" applyFont="1" applyAlignment="1">
      <alignment vertical="center"/>
    </xf>
    <xf numFmtId="0" fontId="47" fillId="0" borderId="0" xfId="0" applyFont="1" applyAlignment="1">
      <alignment horizontal="left" vertical="center"/>
    </xf>
    <xf numFmtId="0" fontId="12" fillId="0" borderId="0" xfId="0" applyFont="1"/>
    <xf numFmtId="0" fontId="48" fillId="0" borderId="4" xfId="0" applyFont="1" applyBorder="1" applyAlignment="1">
      <alignment horizontal="left" vertical="center"/>
    </xf>
    <xf numFmtId="164" fontId="12" fillId="0" borderId="0" xfId="0" applyNumberFormat="1" applyFont="1"/>
    <xf numFmtId="0" fontId="47" fillId="0" borderId="4" xfId="0" applyFont="1" applyBorder="1"/>
    <xf numFmtId="0" fontId="12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0" fontId="49" fillId="0" borderId="4" xfId="0" applyFont="1" applyBorder="1" applyAlignment="1">
      <alignment horizontal="left" vertical="center"/>
    </xf>
    <xf numFmtId="0" fontId="47" fillId="0" borderId="0" xfId="0" applyFont="1" applyAlignment="1">
      <alignment vertical="center"/>
    </xf>
    <xf numFmtId="4" fontId="12" fillId="0" borderId="0" xfId="0" applyNumberFormat="1" applyFont="1"/>
    <xf numFmtId="0" fontId="48" fillId="0" borderId="0" xfId="0" applyFont="1" applyAlignment="1">
      <alignment horizontal="left" vertical="center"/>
    </xf>
    <xf numFmtId="164" fontId="48" fillId="0" borderId="0" xfId="0" applyNumberFormat="1" applyFont="1" applyAlignment="1">
      <alignment horizontal="left" vertical="center"/>
    </xf>
    <xf numFmtId="0" fontId="50" fillId="17" borderId="4" xfId="0" applyFont="1" applyFill="1" applyBorder="1" applyAlignment="1">
      <alignment wrapText="1"/>
    </xf>
    <xf numFmtId="0" fontId="50" fillId="17" borderId="4" xfId="0" applyFont="1" applyFill="1" applyBorder="1" applyAlignment="1">
      <alignment horizontal="left" vertical="center"/>
    </xf>
    <xf numFmtId="0" fontId="12" fillId="0" borderId="4" xfId="0" applyFont="1" applyBorder="1"/>
    <xf numFmtId="165" fontId="12" fillId="0" borderId="0" xfId="0" applyNumberFormat="1" applyFont="1"/>
    <xf numFmtId="0" fontId="49" fillId="0" borderId="0" xfId="0" applyFont="1"/>
    <xf numFmtId="0" fontId="51" fillId="17" borderId="24" xfId="0" applyFont="1" applyFill="1" applyBorder="1" applyAlignment="1">
      <alignment vertical="center" wrapText="1"/>
    </xf>
    <xf numFmtId="0" fontId="51" fillId="17" borderId="25" xfId="0" applyFont="1" applyFill="1" applyBorder="1" applyAlignment="1">
      <alignment vertical="center" wrapText="1"/>
    </xf>
    <xf numFmtId="0" fontId="49" fillId="15" borderId="26" xfId="0" applyFont="1" applyFill="1" applyBorder="1" applyAlignment="1">
      <alignment vertical="center" wrapText="1"/>
    </xf>
    <xf numFmtId="170" fontId="6" fillId="5" borderId="0" xfId="7" applyNumberFormat="1" applyFont="1" applyFill="1" applyAlignment="1">
      <alignment horizontal="center" vertical="center"/>
    </xf>
    <xf numFmtId="0" fontId="26" fillId="19" borderId="0" xfId="5" applyFont="1" applyFill="1" applyAlignment="1">
      <alignment horizontal="center" vertical="center"/>
    </xf>
    <xf numFmtId="0" fontId="55" fillId="4" borderId="30" xfId="5" applyFont="1" applyFill="1" applyBorder="1" applyAlignment="1">
      <alignment vertical="center"/>
    </xf>
    <xf numFmtId="168" fontId="56" fillId="4" borderId="0" xfId="6" applyFont="1" applyFill="1" applyBorder="1" applyAlignment="1">
      <alignment vertical="center"/>
    </xf>
    <xf numFmtId="168" fontId="58" fillId="0" borderId="0" xfId="6" applyFont="1" applyFill="1" applyBorder="1" applyAlignment="1">
      <alignment vertical="center"/>
    </xf>
    <xf numFmtId="3" fontId="59" fillId="24" borderId="32" xfId="0" applyNumberFormat="1" applyFont="1" applyFill="1" applyBorder="1" applyAlignment="1" applyProtection="1">
      <alignment horizontal="center" vertical="center" wrapText="1"/>
      <protection locked="0"/>
    </xf>
    <xf numFmtId="3" fontId="59" fillId="24" borderId="24" xfId="0" applyNumberFormat="1" applyFont="1" applyFill="1" applyBorder="1" applyAlignment="1" applyProtection="1">
      <alignment horizontal="center" vertical="center" wrapText="1"/>
      <protection locked="0"/>
    </xf>
    <xf numFmtId="0" fontId="60" fillId="0" borderId="33" xfId="0" applyFont="1" applyBorder="1" applyAlignment="1" applyProtection="1">
      <alignment vertical="center"/>
      <protection locked="0"/>
    </xf>
    <xf numFmtId="0" fontId="61" fillId="0" borderId="34" xfId="0" applyFont="1" applyBorder="1" applyAlignment="1" applyProtection="1">
      <alignment horizontal="left" vertical="center"/>
      <protection locked="0"/>
    </xf>
    <xf numFmtId="0" fontId="61" fillId="0" borderId="34" xfId="0" applyFont="1" applyBorder="1" applyAlignment="1" applyProtection="1">
      <alignment horizontal="center" vertical="center"/>
      <protection locked="0"/>
    </xf>
    <xf numFmtId="176" fontId="61" fillId="0" borderId="34" xfId="11" applyNumberFormat="1" applyFont="1" applyBorder="1" applyAlignment="1" applyProtection="1">
      <alignment horizontal="center" vertical="center"/>
      <protection locked="0"/>
    </xf>
    <xf numFmtId="176" fontId="61" fillId="0" borderId="34" xfId="0" applyNumberFormat="1" applyFont="1" applyBorder="1" applyAlignment="1" applyProtection="1">
      <alignment horizontal="center" vertical="center"/>
      <protection locked="0"/>
    </xf>
    <xf numFmtId="176" fontId="60" fillId="0" borderId="34" xfId="0" applyNumberFormat="1" applyFont="1" applyBorder="1" applyAlignment="1">
      <alignment horizontal="center" vertical="center"/>
    </xf>
    <xf numFmtId="0" fontId="60" fillId="0" borderId="35" xfId="0" applyFont="1" applyBorder="1" applyAlignment="1" applyProtection="1">
      <alignment vertical="center"/>
      <protection locked="0"/>
    </xf>
    <xf numFmtId="0" fontId="60" fillId="0" borderId="36" xfId="0" applyFont="1" applyBorder="1" applyAlignment="1" applyProtection="1">
      <alignment horizontal="left" vertical="center"/>
      <protection locked="0"/>
    </xf>
    <xf numFmtId="0" fontId="60" fillId="0" borderId="36" xfId="0" applyFont="1" applyBorder="1" applyAlignment="1" applyProtection="1">
      <alignment horizontal="center" vertical="center"/>
      <protection locked="0"/>
    </xf>
    <xf numFmtId="176" fontId="60" fillId="0" borderId="36" xfId="0" applyNumberFormat="1" applyFont="1" applyBorder="1" applyAlignment="1" applyProtection="1">
      <alignment horizontal="center" vertical="center"/>
      <protection locked="0"/>
    </xf>
    <xf numFmtId="0" fontId="59" fillId="24" borderId="32" xfId="0" applyFont="1" applyFill="1" applyBorder="1" applyAlignment="1" applyProtection="1">
      <alignment vertical="center"/>
      <protection locked="0"/>
    </xf>
    <xf numFmtId="0" fontId="59" fillId="24" borderId="24" xfId="0" applyFont="1" applyFill="1" applyBorder="1" applyAlignment="1" applyProtection="1">
      <alignment horizontal="center" vertical="center"/>
      <protection locked="0"/>
    </xf>
    <xf numFmtId="176" fontId="59" fillId="24" borderId="24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167" fontId="61" fillId="0" borderId="34" xfId="10" applyFont="1" applyBorder="1" applyAlignment="1" applyProtection="1">
      <alignment horizontal="center" vertical="center"/>
      <protection locked="0"/>
    </xf>
    <xf numFmtId="167" fontId="60" fillId="0" borderId="34" xfId="10" applyFont="1" applyBorder="1" applyAlignment="1">
      <alignment horizontal="center" vertical="center"/>
    </xf>
    <xf numFmtId="3" fontId="59" fillId="24" borderId="4" xfId="0" applyNumberFormat="1" applyFont="1" applyFill="1" applyBorder="1" applyAlignment="1" applyProtection="1">
      <alignment horizontal="center" vertical="center" wrapText="1"/>
      <protection locked="0"/>
    </xf>
    <xf numFmtId="3" fontId="59" fillId="25" borderId="4" xfId="0" applyNumberFormat="1" applyFont="1" applyFill="1" applyBorder="1" applyAlignment="1" applyProtection="1">
      <alignment horizontal="center" vertical="center" wrapText="1"/>
      <protection locked="0"/>
    </xf>
    <xf numFmtId="3" fontId="59" fillId="26" borderId="4" xfId="0" applyNumberFormat="1" applyFont="1" applyFill="1" applyBorder="1" applyAlignment="1" applyProtection="1">
      <alignment horizontal="center" vertical="center" wrapText="1"/>
      <protection locked="0"/>
    </xf>
    <xf numFmtId="3" fontId="59" fillId="27" borderId="4" xfId="0" applyNumberFormat="1" applyFont="1" applyFill="1" applyBorder="1" applyAlignment="1" applyProtection="1">
      <alignment horizontal="center" vertical="center" wrapText="1"/>
      <protection locked="0"/>
    </xf>
    <xf numFmtId="0" fontId="60" fillId="0" borderId="34" xfId="0" applyFont="1" applyBorder="1" applyAlignment="1" applyProtection="1">
      <alignment horizontal="left" vertical="center"/>
      <protection locked="0"/>
    </xf>
    <xf numFmtId="0" fontId="60" fillId="0" borderId="34" xfId="0" applyFont="1" applyBorder="1" applyAlignment="1" applyProtection="1">
      <alignment horizontal="center" vertical="center"/>
      <protection locked="0"/>
    </xf>
    <xf numFmtId="172" fontId="60" fillId="0" borderId="34" xfId="11" applyNumberFormat="1" applyFont="1" applyBorder="1" applyAlignment="1" applyProtection="1">
      <alignment horizontal="center" vertical="center"/>
      <protection locked="0"/>
    </xf>
    <xf numFmtId="172" fontId="60" fillId="0" borderId="34" xfId="0" applyNumberFormat="1" applyFont="1" applyBorder="1" applyAlignment="1" applyProtection="1">
      <alignment horizontal="center" vertical="center"/>
      <protection locked="0"/>
    </xf>
    <xf numFmtId="172" fontId="60" fillId="0" borderId="34" xfId="0" applyNumberFormat="1" applyFont="1" applyBorder="1" applyAlignment="1">
      <alignment horizontal="center" vertical="center"/>
    </xf>
    <xf numFmtId="172" fontId="60" fillId="0" borderId="36" xfId="0" applyNumberFormat="1" applyFont="1" applyBorder="1" applyAlignment="1" applyProtection="1">
      <alignment horizontal="center" vertical="center"/>
      <protection locked="0"/>
    </xf>
    <xf numFmtId="172" fontId="59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2" borderId="4" xfId="0" applyFill="1" applyBorder="1"/>
    <xf numFmtId="10" fontId="64" fillId="0" borderId="4" xfId="2" applyNumberFormat="1" applyFont="1" applyBorder="1" applyAlignment="1" applyProtection="1">
      <alignment vertical="center"/>
      <protection locked="0"/>
    </xf>
    <xf numFmtId="10" fontId="66" fillId="0" borderId="4" xfId="2" applyNumberFormat="1" applyFont="1" applyBorder="1" applyAlignment="1" applyProtection="1">
      <alignment vertical="center"/>
      <protection locked="0"/>
    </xf>
    <xf numFmtId="10" fontId="67" fillId="0" borderId="4" xfId="2" applyNumberFormat="1" applyFont="1" applyBorder="1" applyAlignment="1" applyProtection="1">
      <alignment vertical="center"/>
      <protection locked="0"/>
    </xf>
    <xf numFmtId="3" fontId="59" fillId="0" borderId="12" xfId="0" applyNumberFormat="1" applyFont="1" applyBorder="1" applyAlignment="1" applyProtection="1">
      <alignment horizontal="center" vertical="center" wrapText="1"/>
      <protection locked="0"/>
    </xf>
    <xf numFmtId="167" fontId="53" fillId="29" borderId="4" xfId="0" applyNumberFormat="1" applyFont="1" applyFill="1" applyBorder="1"/>
    <xf numFmtId="3" fontId="68" fillId="24" borderId="4" xfId="0" applyNumberFormat="1" applyFont="1" applyFill="1" applyBorder="1" applyAlignment="1" applyProtection="1">
      <alignment horizontal="center" vertical="center" wrapText="1"/>
      <protection locked="0"/>
    </xf>
    <xf numFmtId="3" fontId="68" fillId="27" borderId="4" xfId="0" applyNumberFormat="1" applyFont="1" applyFill="1" applyBorder="1" applyAlignment="1" applyProtection="1">
      <alignment horizontal="center" vertical="center" wrapText="1"/>
      <protection locked="0"/>
    </xf>
    <xf numFmtId="0" fontId="70" fillId="0" borderId="4" xfId="0" applyFont="1" applyBorder="1" applyAlignment="1" applyProtection="1">
      <alignment vertical="center" wrapText="1"/>
      <protection locked="0"/>
    </xf>
    <xf numFmtId="0" fontId="70" fillId="0" borderId="4" xfId="0" applyFont="1" applyBorder="1" applyAlignment="1" applyProtection="1">
      <alignment horizontal="left" vertical="center"/>
      <protection locked="0"/>
    </xf>
    <xf numFmtId="0" fontId="70" fillId="0" borderId="4" xfId="0" applyFont="1" applyBorder="1" applyAlignment="1" applyProtection="1">
      <alignment horizontal="center" vertical="center"/>
      <protection locked="0"/>
    </xf>
    <xf numFmtId="0" fontId="70" fillId="0" borderId="0" xfId="0" applyFont="1"/>
    <xf numFmtId="0" fontId="68" fillId="0" borderId="0" xfId="0" applyFont="1" applyAlignment="1">
      <alignment vertical="center"/>
    </xf>
    <xf numFmtId="167" fontId="70" fillId="0" borderId="0" xfId="10" applyFont="1"/>
    <xf numFmtId="167" fontId="70" fillId="0" borderId="0" xfId="0" applyNumberFormat="1" applyFont="1"/>
    <xf numFmtId="172" fontId="60" fillId="10" borderId="34" xfId="0" applyNumberFormat="1" applyFont="1" applyFill="1" applyBorder="1" applyAlignment="1">
      <alignment horizontal="center" vertical="center"/>
    </xf>
    <xf numFmtId="169" fontId="72" fillId="0" borderId="4" xfId="6" applyNumberFormat="1" applyFont="1" applyFill="1" applyBorder="1" applyAlignment="1">
      <alignment horizontal="center" vertical="center" wrapText="1"/>
    </xf>
    <xf numFmtId="169" fontId="71" fillId="0" borderId="4" xfId="6" applyNumberFormat="1" applyFont="1" applyFill="1" applyBorder="1" applyAlignment="1">
      <alignment vertical="center"/>
    </xf>
    <xf numFmtId="41" fontId="71" fillId="0" borderId="4" xfId="0" applyNumberFormat="1" applyFont="1" applyBorder="1" applyAlignment="1">
      <alignment vertical="center"/>
    </xf>
    <xf numFmtId="169" fontId="72" fillId="0" borderId="4" xfId="6" applyNumberFormat="1" applyFont="1" applyFill="1" applyBorder="1" applyAlignment="1">
      <alignment vertical="center"/>
    </xf>
    <xf numFmtId="3" fontId="5" fillId="0" borderId="4" xfId="5" applyNumberFormat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 applyProtection="1">
      <alignment vertical="center" wrapText="1"/>
      <protection locked="0"/>
    </xf>
    <xf numFmtId="167" fontId="12" fillId="0" borderId="4" xfId="0" applyNumberFormat="1" applyFont="1" applyBorder="1" applyAlignment="1">
      <alignment horizontal="left" vertical="center" wrapText="1"/>
    </xf>
    <xf numFmtId="0" fontId="50" fillId="29" borderId="4" xfId="0" applyFont="1" applyFill="1" applyBorder="1" applyAlignment="1">
      <alignment vertical="center" wrapText="1"/>
    </xf>
    <xf numFmtId="0" fontId="50" fillId="29" borderId="4" xfId="0" applyFont="1" applyFill="1" applyBorder="1" applyAlignment="1">
      <alignment horizontal="left" vertical="center" wrapText="1"/>
    </xf>
    <xf numFmtId="0" fontId="76" fillId="29" borderId="4" xfId="0" applyFont="1" applyFill="1" applyBorder="1" applyAlignment="1">
      <alignment vertical="center"/>
    </xf>
    <xf numFmtId="169" fontId="76" fillId="29" borderId="4" xfId="6" applyNumberFormat="1" applyFont="1" applyFill="1" applyBorder="1" applyAlignment="1">
      <alignment vertical="center"/>
    </xf>
    <xf numFmtId="2" fontId="12" fillId="0" borderId="4" xfId="0" applyNumberFormat="1" applyFont="1" applyBorder="1" applyAlignment="1">
      <alignment horizontal="center" vertical="center" wrapText="1"/>
    </xf>
    <xf numFmtId="177" fontId="40" fillId="0" borderId="4" xfId="5" applyNumberFormat="1" applyFont="1" applyBorder="1" applyAlignment="1">
      <alignment horizontal="center" vertical="center"/>
    </xf>
    <xf numFmtId="170" fontId="0" fillId="0" borderId="4" xfId="1" applyNumberFormat="1" applyFont="1" applyFill="1" applyBorder="1" applyAlignment="1">
      <alignment horizontal="center" vertical="center"/>
    </xf>
    <xf numFmtId="168" fontId="40" fillId="0" borderId="4" xfId="6" applyFont="1" applyFill="1" applyBorder="1" applyAlignment="1">
      <alignment horizontal="center" vertical="center"/>
    </xf>
    <xf numFmtId="167" fontId="42" fillId="0" borderId="4" xfId="10" applyFont="1" applyFill="1" applyBorder="1" applyAlignment="1">
      <alignment horizontal="center" vertical="center"/>
    </xf>
    <xf numFmtId="167" fontId="46" fillId="0" borderId="4" xfId="10" applyFont="1" applyFill="1" applyBorder="1" applyAlignment="1">
      <alignment horizontal="center" vertical="center"/>
    </xf>
    <xf numFmtId="167" fontId="25" fillId="0" borderId="4" xfId="10" applyFont="1" applyFill="1" applyBorder="1" applyAlignment="1">
      <alignment horizontal="center" vertical="center"/>
    </xf>
    <xf numFmtId="167" fontId="49" fillId="0" borderId="4" xfId="10" applyFont="1" applyBorder="1" applyAlignment="1">
      <alignment horizontal="left" vertical="center"/>
    </xf>
    <xf numFmtId="167" fontId="48" fillId="0" borderId="4" xfId="0" applyNumberFormat="1" applyFont="1" applyBorder="1" applyAlignment="1">
      <alignment horizontal="left" vertical="center"/>
    </xf>
    <xf numFmtId="0" fontId="12" fillId="0" borderId="4" xfId="0" applyFont="1" applyBorder="1" applyAlignment="1">
      <alignment horizontal="left" wrapText="1"/>
    </xf>
    <xf numFmtId="0" fontId="49" fillId="0" borderId="4" xfId="0" applyFont="1" applyBorder="1" applyAlignment="1">
      <alignment horizontal="left" vertical="center" wrapText="1"/>
    </xf>
    <xf numFmtId="167" fontId="49" fillId="0" borderId="4" xfId="0" applyNumberFormat="1" applyFont="1" applyBorder="1" applyAlignment="1">
      <alignment horizontal="left" vertical="center"/>
    </xf>
    <xf numFmtId="167" fontId="47" fillId="0" borderId="4" xfId="10" applyFont="1" applyBorder="1"/>
    <xf numFmtId="167" fontId="12" fillId="0" borderId="4" xfId="0" applyNumberFormat="1" applyFont="1" applyBorder="1"/>
    <xf numFmtId="178" fontId="12" fillId="0" borderId="4" xfId="0" applyNumberFormat="1" applyFont="1" applyBorder="1"/>
    <xf numFmtId="0" fontId="54" fillId="24" borderId="40" xfId="5" applyFont="1" applyFill="1" applyBorder="1" applyAlignment="1">
      <alignment horizontal="center" vertical="center" wrapText="1"/>
    </xf>
    <xf numFmtId="3" fontId="54" fillId="24" borderId="41" xfId="5" applyNumberFormat="1" applyFont="1" applyFill="1" applyBorder="1" applyAlignment="1">
      <alignment horizontal="center" vertical="center" wrapText="1"/>
    </xf>
    <xf numFmtId="3" fontId="17" fillId="0" borderId="16" xfId="5" applyNumberFormat="1" applyFont="1" applyBorder="1" applyAlignment="1">
      <alignment horizontal="center" vertical="center"/>
    </xf>
    <xf numFmtId="3" fontId="17" fillId="8" borderId="16" xfId="5" applyNumberFormat="1" applyFont="1" applyFill="1" applyBorder="1" applyAlignment="1">
      <alignment horizontal="left" vertical="center" wrapText="1"/>
    </xf>
    <xf numFmtId="3" fontId="17" fillId="8" borderId="16" xfId="5" applyNumberFormat="1" applyFont="1" applyFill="1" applyBorder="1" applyAlignment="1">
      <alignment horizontal="center" vertical="center" wrapText="1"/>
    </xf>
    <xf numFmtId="3" fontId="17" fillId="0" borderId="16" xfId="5" applyNumberFormat="1" applyFont="1" applyBorder="1" applyAlignment="1">
      <alignment horizontal="center" vertical="center" wrapText="1"/>
    </xf>
    <xf numFmtId="3" fontId="12" fillId="0" borderId="16" xfId="0" applyNumberFormat="1" applyFont="1" applyBorder="1" applyAlignment="1">
      <alignment horizontal="center" vertical="center"/>
    </xf>
    <xf numFmtId="0" fontId="54" fillId="8" borderId="43" xfId="5" applyFont="1" applyFill="1" applyBorder="1" applyAlignment="1">
      <alignment horizontal="left" vertical="center" wrapText="1"/>
    </xf>
    <xf numFmtId="3" fontId="17" fillId="0" borderId="4" xfId="5" applyNumberFormat="1" applyFont="1" applyBorder="1" applyAlignment="1">
      <alignment horizontal="center" vertical="center"/>
    </xf>
    <xf numFmtId="0" fontId="12" fillId="0" borderId="4" xfId="0" applyFont="1" applyBorder="1" applyAlignment="1">
      <alignment wrapText="1"/>
    </xf>
    <xf numFmtId="3" fontId="17" fillId="8" borderId="4" xfId="5" applyNumberFormat="1" applyFont="1" applyFill="1" applyBorder="1" applyAlignment="1">
      <alignment horizontal="center" vertical="center" wrapText="1"/>
    </xf>
    <xf numFmtId="3" fontId="17" fillId="0" borderId="4" xfId="5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/>
    </xf>
    <xf numFmtId="3" fontId="17" fillId="0" borderId="4" xfId="0" applyNumberFormat="1" applyFont="1" applyBorder="1" applyAlignment="1">
      <alignment horizontal="center" vertical="center"/>
    </xf>
    <xf numFmtId="3" fontId="17" fillId="0" borderId="4" xfId="3" applyNumberFormat="1" applyFont="1" applyFill="1" applyBorder="1" applyAlignment="1">
      <alignment horizontal="left" vertical="center" wrapText="1"/>
    </xf>
    <xf numFmtId="0" fontId="54" fillId="0" borderId="43" xfId="5" applyFont="1" applyBorder="1" applyAlignment="1">
      <alignment horizontal="left" vertical="center" wrapText="1"/>
    </xf>
    <xf numFmtId="3" fontId="17" fillId="8" borderId="4" xfId="5" applyNumberFormat="1" applyFont="1" applyFill="1" applyBorder="1" applyAlignment="1">
      <alignment horizontal="left" vertical="center" wrapText="1"/>
    </xf>
    <xf numFmtId="3" fontId="17" fillId="0" borderId="4" xfId="5" applyNumberFormat="1" applyFont="1" applyBorder="1" applyAlignment="1">
      <alignment horizontal="left" vertical="center" wrapText="1"/>
    </xf>
    <xf numFmtId="0" fontId="54" fillId="0" borderId="43" xfId="5" applyFont="1" applyBorder="1" applyAlignment="1">
      <alignment horizontal="left" vertical="center"/>
    </xf>
    <xf numFmtId="3" fontId="12" fillId="8" borderId="4" xfId="5" applyNumberFormat="1" applyFont="1" applyFill="1" applyBorder="1" applyAlignment="1">
      <alignment horizontal="center" vertical="center" wrapText="1"/>
    </xf>
    <xf numFmtId="3" fontId="12" fillId="0" borderId="4" xfId="5" applyNumberFormat="1" applyFont="1" applyBorder="1" applyAlignment="1">
      <alignment horizontal="center" vertical="center" wrapText="1"/>
    </xf>
    <xf numFmtId="0" fontId="54" fillId="8" borderId="43" xfId="5" applyFont="1" applyFill="1" applyBorder="1" applyAlignment="1">
      <alignment vertical="center" wrapText="1"/>
    </xf>
    <xf numFmtId="0" fontId="54" fillId="8" borderId="43" xfId="5" applyFont="1" applyFill="1" applyBorder="1" applyAlignment="1">
      <alignment horizontal="left" vertical="center"/>
    </xf>
    <xf numFmtId="0" fontId="54" fillId="0" borderId="43" xfId="5" applyFont="1" applyBorder="1" applyAlignment="1">
      <alignment vertical="center"/>
    </xf>
    <xf numFmtId="0" fontId="54" fillId="8" borderId="43" xfId="5" applyFont="1" applyFill="1" applyBorder="1" applyAlignment="1">
      <alignment vertical="center"/>
    </xf>
    <xf numFmtId="0" fontId="54" fillId="0" borderId="43" xfId="5" applyFont="1" applyBorder="1" applyAlignment="1">
      <alignment vertical="center" wrapText="1"/>
    </xf>
    <xf numFmtId="0" fontId="54" fillId="0" borderId="44" xfId="5" applyFont="1" applyBorder="1" applyAlignment="1">
      <alignment vertical="center" wrapText="1"/>
    </xf>
    <xf numFmtId="3" fontId="17" fillId="0" borderId="45" xfId="5" applyNumberFormat="1" applyFont="1" applyBorder="1" applyAlignment="1">
      <alignment horizontal="center" vertical="center"/>
    </xf>
    <xf numFmtId="3" fontId="12" fillId="0" borderId="45" xfId="5" applyNumberFormat="1" applyFont="1" applyBorder="1" applyAlignment="1">
      <alignment horizontal="left" vertical="center" wrapText="1"/>
    </xf>
    <xf numFmtId="3" fontId="17" fillId="0" borderId="45" xfId="5" applyNumberFormat="1" applyFont="1" applyBorder="1" applyAlignment="1">
      <alignment horizontal="center" vertical="center" wrapText="1"/>
    </xf>
    <xf numFmtId="3" fontId="12" fillId="0" borderId="45" xfId="0" applyNumberFormat="1" applyFont="1" applyBorder="1" applyAlignment="1">
      <alignment horizontal="center" vertical="center"/>
    </xf>
    <xf numFmtId="167" fontId="12" fillId="0" borderId="0" xfId="10" applyFont="1"/>
    <xf numFmtId="167" fontId="54" fillId="24" borderId="4" xfId="10" applyFont="1" applyFill="1" applyBorder="1" applyAlignment="1">
      <alignment horizontal="center" vertical="center" wrapText="1"/>
    </xf>
    <xf numFmtId="167" fontId="12" fillId="0" borderId="4" xfId="10" applyFont="1" applyBorder="1" applyAlignment="1">
      <alignment horizontal="center" vertical="center"/>
    </xf>
    <xf numFmtId="167" fontId="12" fillId="0" borderId="4" xfId="10" applyFont="1" applyBorder="1"/>
    <xf numFmtId="167" fontId="79" fillId="0" borderId="4" xfId="10" applyFont="1" applyBorder="1"/>
    <xf numFmtId="176" fontId="70" fillId="0" borderId="4" xfId="10" applyNumberFormat="1" applyFont="1" applyBorder="1" applyAlignment="1" applyProtection="1">
      <alignment horizontal="center" vertical="center"/>
      <protection locked="0"/>
    </xf>
    <xf numFmtId="176" fontId="70" fillId="28" borderId="4" xfId="10" applyNumberFormat="1" applyFont="1" applyFill="1" applyBorder="1" applyAlignment="1" applyProtection="1">
      <alignment horizontal="center" vertical="center"/>
      <protection locked="0"/>
    </xf>
    <xf numFmtId="176" fontId="69" fillId="29" borderId="4" xfId="10" applyNumberFormat="1" applyFont="1" applyFill="1" applyBorder="1" applyAlignment="1" applyProtection="1">
      <alignment horizontal="center" vertical="center"/>
      <protection locked="0"/>
    </xf>
    <xf numFmtId="3" fontId="61" fillId="0" borderId="4" xfId="0" applyNumberFormat="1" applyFont="1" applyBorder="1" applyAlignment="1" applyProtection="1">
      <alignment horizontal="left" vertical="center"/>
      <protection locked="0"/>
    </xf>
    <xf numFmtId="3" fontId="61" fillId="0" borderId="4" xfId="0" applyNumberFormat="1" applyFont="1" applyBorder="1" applyAlignment="1" applyProtection="1">
      <alignment horizontal="center" vertical="center"/>
      <protection locked="0"/>
    </xf>
    <xf numFmtId="3" fontId="61" fillId="0" borderId="4" xfId="10" applyNumberFormat="1" applyFont="1" applyBorder="1" applyAlignment="1" applyProtection="1">
      <alignment horizontal="center" vertical="center"/>
      <protection locked="0"/>
    </xf>
    <xf numFmtId="3" fontId="60" fillId="0" borderId="4" xfId="10" applyNumberFormat="1" applyFont="1" applyBorder="1" applyAlignment="1">
      <alignment horizontal="center" vertical="center"/>
    </xf>
    <xf numFmtId="3" fontId="60" fillId="0" borderId="4" xfId="0" applyNumberFormat="1" applyFont="1" applyBorder="1" applyAlignment="1" applyProtection="1">
      <alignment horizontal="left" vertical="center"/>
      <protection locked="0"/>
    </xf>
    <xf numFmtId="3" fontId="60" fillId="0" borderId="4" xfId="0" applyNumberFormat="1" applyFont="1" applyBorder="1" applyAlignment="1" applyProtection="1">
      <alignment horizontal="center" vertical="center"/>
      <protection locked="0"/>
    </xf>
    <xf numFmtId="3" fontId="59" fillId="24" borderId="4" xfId="0" applyNumberFormat="1" applyFont="1" applyFill="1" applyBorder="1" applyAlignment="1" applyProtection="1">
      <alignment horizontal="center" vertical="center"/>
      <protection locked="0"/>
    </xf>
    <xf numFmtId="3" fontId="59" fillId="24" borderId="4" xfId="10" applyNumberFormat="1" applyFont="1" applyFill="1" applyBorder="1" applyAlignment="1" applyProtection="1">
      <alignment horizontal="center" vertical="center"/>
      <protection locked="0"/>
    </xf>
    <xf numFmtId="3" fontId="60" fillId="0" borderId="4" xfId="0" applyNumberFormat="1" applyFont="1" applyBorder="1" applyAlignment="1" applyProtection="1">
      <alignment vertical="center" wrapText="1"/>
      <protection locked="0"/>
    </xf>
    <xf numFmtId="3" fontId="59" fillId="24" borderId="4" xfId="0" applyNumberFormat="1" applyFont="1" applyFill="1" applyBorder="1" applyAlignment="1" applyProtection="1">
      <alignment vertical="center" wrapText="1"/>
      <protection locked="0"/>
    </xf>
    <xf numFmtId="176" fontId="59" fillId="24" borderId="4" xfId="10" applyNumberFormat="1" applyFont="1" applyFill="1" applyBorder="1" applyAlignment="1" applyProtection="1">
      <alignment horizontal="center" vertical="center"/>
      <protection locked="0"/>
    </xf>
    <xf numFmtId="3" fontId="70" fillId="0" borderId="4" xfId="10" applyNumberFormat="1" applyFont="1" applyBorder="1" applyAlignment="1">
      <alignment horizontal="center" vertical="center"/>
    </xf>
    <xf numFmtId="3" fontId="70" fillId="0" borderId="4" xfId="10" applyNumberFormat="1" applyFont="1" applyBorder="1" applyAlignment="1" applyProtection="1">
      <alignment horizontal="center" vertical="center"/>
      <protection locked="0"/>
    </xf>
    <xf numFmtId="3" fontId="70" fillId="0" borderId="4" xfId="10" applyNumberFormat="1" applyFont="1" applyBorder="1"/>
    <xf numFmtId="3" fontId="74" fillId="0" borderId="4" xfId="10" applyNumberFormat="1" applyFont="1" applyBorder="1" applyAlignment="1" applyProtection="1">
      <alignment vertical="center"/>
      <protection locked="0"/>
    </xf>
    <xf numFmtId="3" fontId="74" fillId="0" borderId="4" xfId="2" applyNumberFormat="1" applyFont="1" applyBorder="1" applyAlignment="1" applyProtection="1">
      <alignment vertical="center"/>
      <protection locked="0"/>
    </xf>
    <xf numFmtId="3" fontId="70" fillId="0" borderId="4" xfId="2" applyNumberFormat="1" applyFont="1" applyBorder="1" applyAlignment="1" applyProtection="1">
      <alignment vertical="center"/>
      <protection locked="0"/>
    </xf>
    <xf numFmtId="3" fontId="70" fillId="0" borderId="4" xfId="0" applyNumberFormat="1" applyFont="1" applyBorder="1"/>
    <xf numFmtId="3" fontId="70" fillId="28" borderId="4" xfId="10" applyNumberFormat="1" applyFont="1" applyFill="1" applyBorder="1" applyAlignment="1">
      <alignment horizontal="center" vertical="center"/>
    </xf>
    <xf numFmtId="3" fontId="70" fillId="20" borderId="4" xfId="10" applyNumberFormat="1" applyFont="1" applyFill="1" applyBorder="1" applyAlignment="1">
      <alignment horizontal="center" vertical="center"/>
    </xf>
    <xf numFmtId="3" fontId="75" fillId="20" borderId="4" xfId="2" applyNumberFormat="1" applyFont="1" applyFill="1" applyBorder="1" applyAlignment="1" applyProtection="1">
      <alignment vertical="center"/>
      <protection locked="0"/>
    </xf>
    <xf numFmtId="3" fontId="70" fillId="28" borderId="4" xfId="10" applyNumberFormat="1" applyFont="1" applyFill="1" applyBorder="1" applyAlignment="1" applyProtection="1">
      <alignment horizontal="center" vertical="center"/>
      <protection locked="0"/>
    </xf>
    <xf numFmtId="3" fontId="70" fillId="22" borderId="4" xfId="10" applyNumberFormat="1" applyFont="1" applyFill="1" applyBorder="1" applyAlignment="1">
      <alignment horizontal="center" vertical="center"/>
    </xf>
    <xf numFmtId="3" fontId="69" fillId="29" borderId="4" xfId="10" applyNumberFormat="1" applyFont="1" applyFill="1" applyBorder="1" applyAlignment="1" applyProtection="1">
      <alignment horizontal="center" vertical="center"/>
      <protection locked="0"/>
    </xf>
    <xf numFmtId="3" fontId="69" fillId="29" borderId="4" xfId="0" applyNumberFormat="1" applyFont="1" applyFill="1" applyBorder="1" applyAlignment="1">
      <alignment vertical="center"/>
    </xf>
    <xf numFmtId="0" fontId="47" fillId="0" borderId="4" xfId="0" applyFont="1" applyBorder="1" applyAlignment="1">
      <alignment horizontal="left" vertical="center"/>
    </xf>
    <xf numFmtId="3" fontId="17" fillId="0" borderId="22" xfId="0" applyNumberFormat="1" applyFont="1" applyBorder="1" applyAlignment="1">
      <alignment horizontal="center" vertical="center"/>
    </xf>
    <xf numFmtId="41" fontId="7" fillId="4" borderId="0" xfId="0" applyNumberFormat="1" applyFont="1" applyFill="1" applyAlignment="1">
      <alignment vertical="center"/>
    </xf>
    <xf numFmtId="167" fontId="0" fillId="0" borderId="0" xfId="10" applyFont="1"/>
    <xf numFmtId="167" fontId="0" fillId="0" borderId="0" xfId="0" applyNumberFormat="1"/>
    <xf numFmtId="177" fontId="60" fillId="0" borderId="4" xfId="10" applyNumberFormat="1" applyFont="1" applyBorder="1" applyAlignment="1">
      <alignment horizontal="center" vertical="center"/>
    </xf>
    <xf numFmtId="177" fontId="60" fillId="22" borderId="4" xfId="10" applyNumberFormat="1" applyFont="1" applyFill="1" applyBorder="1" applyAlignment="1">
      <alignment horizontal="center" vertical="center"/>
    </xf>
    <xf numFmtId="177" fontId="59" fillId="24" borderId="4" xfId="10" applyNumberFormat="1" applyFont="1" applyFill="1" applyBorder="1" applyAlignment="1" applyProtection="1">
      <alignment horizontal="center" vertical="center"/>
      <protection locked="0"/>
    </xf>
    <xf numFmtId="0" fontId="73" fillId="23" borderId="4" xfId="5" applyFont="1" applyFill="1" applyBorder="1" applyAlignment="1">
      <alignment vertical="center" wrapText="1"/>
    </xf>
    <xf numFmtId="0" fontId="69" fillId="29" borderId="4" xfId="0" applyFont="1" applyFill="1" applyBorder="1" applyAlignment="1" applyProtection="1">
      <alignment horizontal="center" vertical="center" wrapText="1"/>
      <protection locked="0"/>
    </xf>
    <xf numFmtId="3" fontId="69" fillId="29" borderId="9" xfId="0" applyNumberFormat="1" applyFont="1" applyFill="1" applyBorder="1" applyAlignment="1">
      <alignment horizontal="center" vertical="center"/>
    </xf>
    <xf numFmtId="3" fontId="69" fillId="29" borderId="39" xfId="0" applyNumberFormat="1" applyFont="1" applyFill="1" applyBorder="1" applyAlignment="1">
      <alignment horizontal="center" vertical="center"/>
    </xf>
    <xf numFmtId="3" fontId="69" fillId="29" borderId="10" xfId="0" applyNumberFormat="1" applyFont="1" applyFill="1" applyBorder="1" applyAlignment="1">
      <alignment horizontal="center" vertical="center"/>
    </xf>
    <xf numFmtId="0" fontId="68" fillId="27" borderId="4" xfId="0" applyFont="1" applyFill="1" applyBorder="1" applyAlignment="1">
      <alignment horizontal="center" vertical="center"/>
    </xf>
    <xf numFmtId="3" fontId="68" fillId="27" borderId="4" xfId="0" applyNumberFormat="1" applyFont="1" applyFill="1" applyBorder="1" applyAlignment="1" applyProtection="1">
      <alignment horizontal="center" vertical="center" wrapText="1"/>
      <protection locked="0"/>
    </xf>
    <xf numFmtId="3" fontId="69" fillId="29" borderId="4" xfId="0" applyNumberFormat="1" applyFont="1" applyFill="1" applyBorder="1" applyAlignment="1" applyProtection="1">
      <alignment horizontal="center" vertical="center" wrapText="1"/>
      <protection locked="0"/>
    </xf>
    <xf numFmtId="0" fontId="73" fillId="24" borderId="9" xfId="5" applyFont="1" applyFill="1" applyBorder="1" applyAlignment="1">
      <alignment horizontal="center" vertical="center" wrapText="1"/>
    </xf>
    <xf numFmtId="0" fontId="73" fillId="24" borderId="39" xfId="5" applyFont="1" applyFill="1" applyBorder="1" applyAlignment="1">
      <alignment horizontal="center" vertical="center" wrapText="1"/>
    </xf>
    <xf numFmtId="0" fontId="73" fillId="24" borderId="10" xfId="5" applyFont="1" applyFill="1" applyBorder="1" applyAlignment="1">
      <alignment horizontal="center" vertical="center" wrapText="1"/>
    </xf>
    <xf numFmtId="0" fontId="73" fillId="23" borderId="4" xfId="5" applyFont="1" applyFill="1" applyBorder="1" applyAlignment="1">
      <alignment horizontal="center" vertical="center"/>
    </xf>
    <xf numFmtId="3" fontId="68" fillId="24" borderId="4" xfId="0" applyNumberFormat="1" applyFont="1" applyFill="1" applyBorder="1" applyAlignment="1" applyProtection="1">
      <alignment horizontal="center" vertical="center" wrapText="1"/>
      <protection locked="0"/>
    </xf>
    <xf numFmtId="0" fontId="73" fillId="24" borderId="4" xfId="5" applyFont="1" applyFill="1" applyBorder="1" applyAlignment="1">
      <alignment horizontal="center" vertical="center" wrapText="1"/>
    </xf>
    <xf numFmtId="0" fontId="73" fillId="23" borderId="9" xfId="5" applyFont="1" applyFill="1" applyBorder="1" applyAlignment="1">
      <alignment horizontal="center" vertical="center"/>
    </xf>
    <xf numFmtId="0" fontId="73" fillId="23" borderId="39" xfId="5" applyFont="1" applyFill="1" applyBorder="1" applyAlignment="1">
      <alignment horizontal="center" vertical="center"/>
    </xf>
    <xf numFmtId="0" fontId="73" fillId="23" borderId="10" xfId="5" applyFont="1" applyFill="1" applyBorder="1" applyAlignment="1">
      <alignment horizontal="center" vertical="center"/>
    </xf>
    <xf numFmtId="0" fontId="73" fillId="23" borderId="9" xfId="5" applyFont="1" applyFill="1" applyBorder="1" applyAlignment="1">
      <alignment horizontal="center" vertical="center" wrapText="1"/>
    </xf>
    <xf numFmtId="0" fontId="73" fillId="23" borderId="39" xfId="5" applyFont="1" applyFill="1" applyBorder="1" applyAlignment="1">
      <alignment horizontal="center" vertical="center" wrapText="1"/>
    </xf>
    <xf numFmtId="0" fontId="73" fillId="23" borderId="10" xfId="5" applyFont="1" applyFill="1" applyBorder="1" applyAlignment="1">
      <alignment horizontal="center" vertical="center" wrapText="1"/>
    </xf>
    <xf numFmtId="0" fontId="47" fillId="0" borderId="0" xfId="0" applyFont="1" applyAlignment="1">
      <alignment horizontal="left" vertical="center"/>
    </xf>
    <xf numFmtId="3" fontId="18" fillId="4" borderId="4" xfId="0" applyNumberFormat="1" applyFont="1" applyFill="1" applyBorder="1" applyAlignment="1">
      <alignment horizontal="center" vertical="center"/>
    </xf>
    <xf numFmtId="0" fontId="6" fillId="4" borderId="0" xfId="5" applyFont="1" applyFill="1" applyAlignment="1">
      <alignment horizontal="center" vertical="center"/>
    </xf>
    <xf numFmtId="168" fontId="6" fillId="4" borderId="0" xfId="6" applyFont="1" applyFill="1" applyAlignment="1">
      <alignment horizontal="center" vertical="center"/>
    </xf>
    <xf numFmtId="0" fontId="6" fillId="0" borderId="0" xfId="5" applyFont="1" applyAlignment="1">
      <alignment horizontal="center" vertical="center"/>
    </xf>
    <xf numFmtId="0" fontId="6" fillId="8" borderId="20" xfId="5" applyFont="1" applyFill="1" applyBorder="1" applyAlignment="1">
      <alignment horizontal="left" vertical="center" wrapText="1"/>
    </xf>
    <xf numFmtId="0" fontId="6" fillId="8" borderId="2" xfId="5" applyFont="1" applyFill="1" applyBorder="1" applyAlignment="1">
      <alignment horizontal="left" vertical="center" wrapText="1"/>
    </xf>
    <xf numFmtId="0" fontId="6" fillId="0" borderId="2" xfId="5" applyFont="1" applyBorder="1" applyAlignment="1">
      <alignment horizontal="left" vertical="center" wrapText="1"/>
    </xf>
    <xf numFmtId="3" fontId="6" fillId="10" borderId="2" xfId="5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18" fillId="4" borderId="9" xfId="0" applyFont="1" applyFill="1" applyBorder="1" applyAlignment="1">
      <alignment horizontal="left" vertical="center"/>
    </xf>
    <xf numFmtId="0" fontId="18" fillId="4" borderId="10" xfId="0" applyFont="1" applyFill="1" applyBorder="1" applyAlignment="1">
      <alignment horizontal="left" vertical="center"/>
    </xf>
    <xf numFmtId="0" fontId="18" fillId="4" borderId="9" xfId="0" applyFont="1" applyFill="1" applyBorder="1" applyAlignment="1">
      <alignment vertical="center"/>
    </xf>
    <xf numFmtId="0" fontId="18" fillId="4" borderId="10" xfId="0" applyFont="1" applyFill="1" applyBorder="1" applyAlignment="1">
      <alignment vertical="center"/>
    </xf>
    <xf numFmtId="0" fontId="18" fillId="4" borderId="4" xfId="0" applyFont="1" applyFill="1" applyBorder="1" applyAlignment="1">
      <alignment horizontal="center" vertical="center"/>
    </xf>
    <xf numFmtId="0" fontId="18" fillId="12" borderId="6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18" fillId="12" borderId="0" xfId="0" applyFont="1" applyFill="1" applyAlignment="1">
      <alignment horizontal="center" vertical="center" wrapText="1"/>
    </xf>
    <xf numFmtId="0" fontId="18" fillId="12" borderId="12" xfId="0" applyFont="1" applyFill="1" applyBorder="1" applyAlignment="1">
      <alignment horizontal="center" vertical="center" wrapText="1"/>
    </xf>
    <xf numFmtId="0" fontId="18" fillId="12" borderId="13" xfId="0" applyFont="1" applyFill="1" applyBorder="1" applyAlignment="1">
      <alignment horizontal="center" vertical="center" wrapText="1"/>
    </xf>
    <xf numFmtId="0" fontId="18" fillId="12" borderId="5" xfId="0" applyFont="1" applyFill="1" applyBorder="1" applyAlignment="1">
      <alignment horizontal="center" vertical="center" wrapText="1"/>
    </xf>
    <xf numFmtId="0" fontId="18" fillId="12" borderId="14" xfId="0" applyFont="1" applyFill="1" applyBorder="1" applyAlignment="1">
      <alignment horizontal="center" vertical="center" wrapText="1"/>
    </xf>
    <xf numFmtId="174" fontId="8" fillId="4" borderId="9" xfId="8" applyNumberFormat="1" applyFont="1" applyFill="1" applyBorder="1" applyAlignment="1">
      <alignment horizontal="center" vertical="center"/>
    </xf>
    <xf numFmtId="174" fontId="8" fillId="4" borderId="10" xfId="8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13" borderId="4" xfId="0" applyFont="1" applyFill="1" applyBorder="1" applyAlignment="1">
      <alignment horizontal="center" vertical="center"/>
    </xf>
    <xf numFmtId="3" fontId="18" fillId="4" borderId="4" xfId="0" applyNumberFormat="1" applyFont="1" applyFill="1" applyBorder="1" applyAlignment="1">
      <alignment vertical="center"/>
    </xf>
    <xf numFmtId="3" fontId="18" fillId="4" borderId="9" xfId="0" applyNumberFormat="1" applyFont="1" applyFill="1" applyBorder="1" applyAlignment="1">
      <alignment vertical="center"/>
    </xf>
    <xf numFmtId="3" fontId="18" fillId="4" borderId="10" xfId="0" applyNumberFormat="1" applyFont="1" applyFill="1" applyBorder="1" applyAlignment="1">
      <alignment vertical="center"/>
    </xf>
    <xf numFmtId="3" fontId="18" fillId="13" borderId="9" xfId="0" applyNumberFormat="1" applyFont="1" applyFill="1" applyBorder="1" applyAlignment="1">
      <alignment horizontal="center" vertical="center"/>
    </xf>
    <xf numFmtId="3" fontId="18" fillId="13" borderId="10" xfId="0" applyNumberFormat="1" applyFont="1" applyFill="1" applyBorder="1" applyAlignment="1">
      <alignment horizontal="center" vertical="center"/>
    </xf>
    <xf numFmtId="174" fontId="6" fillId="4" borderId="9" xfId="8" applyNumberFormat="1" applyFont="1" applyFill="1" applyBorder="1" applyAlignment="1">
      <alignment horizontal="center" vertical="center"/>
    </xf>
    <xf numFmtId="174" fontId="6" fillId="4" borderId="10" xfId="8" applyNumberFormat="1" applyFont="1" applyFill="1" applyBorder="1" applyAlignment="1">
      <alignment horizontal="center" vertical="center"/>
    </xf>
    <xf numFmtId="175" fontId="8" fillId="4" borderId="9" xfId="8" applyNumberFormat="1" applyFont="1" applyFill="1" applyBorder="1" applyAlignment="1">
      <alignment horizontal="center" vertical="center"/>
    </xf>
    <xf numFmtId="175" fontId="8" fillId="4" borderId="10" xfId="8" applyNumberFormat="1" applyFont="1" applyFill="1" applyBorder="1" applyAlignment="1">
      <alignment horizontal="center" vertical="center"/>
    </xf>
    <xf numFmtId="174" fontId="6" fillId="13" borderId="15" xfId="8" applyNumberFormat="1" applyFont="1" applyFill="1" applyBorder="1" applyAlignment="1">
      <alignment horizontal="center" vertical="center"/>
    </xf>
    <xf numFmtId="174" fontId="6" fillId="13" borderId="16" xfId="8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41" fillId="0" borderId="4" xfId="0" applyFont="1" applyBorder="1" applyAlignment="1">
      <alignment horizontal="center" vertical="center" wrapText="1"/>
    </xf>
    <xf numFmtId="0" fontId="36" fillId="0" borderId="0" xfId="5" applyFont="1" applyAlignment="1">
      <alignment horizontal="center" vertical="center"/>
    </xf>
    <xf numFmtId="0" fontId="37" fillId="0" borderId="0" xfId="5" applyFont="1" applyAlignment="1">
      <alignment horizontal="center" vertical="center"/>
    </xf>
    <xf numFmtId="0" fontId="38" fillId="0" borderId="0" xfId="5" applyFont="1" applyAlignment="1">
      <alignment horizontal="center" vertical="center"/>
    </xf>
    <xf numFmtId="0" fontId="39" fillId="0" borderId="0" xfId="5" applyFont="1" applyAlignment="1">
      <alignment horizontal="right" vertical="center"/>
    </xf>
    <xf numFmtId="0" fontId="35" fillId="0" borderId="0" xfId="0" applyFont="1" applyAlignment="1">
      <alignment horizontal="left" vertical="center" wrapText="1"/>
    </xf>
    <xf numFmtId="0" fontId="27" fillId="0" borderId="0" xfId="5" applyFont="1" applyAlignment="1">
      <alignment horizontal="center" vertical="center"/>
    </xf>
    <xf numFmtId="0" fontId="29" fillId="0" borderId="0" xfId="5" applyFont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0" fillId="19" borderId="0" xfId="5" applyFont="1" applyFill="1" applyAlignment="1">
      <alignment horizontal="center" vertical="center"/>
    </xf>
    <xf numFmtId="0" fontId="53" fillId="29" borderId="4" xfId="0" applyFont="1" applyFill="1" applyBorder="1" applyAlignment="1">
      <alignment horizontal="center"/>
    </xf>
    <xf numFmtId="0" fontId="77" fillId="22" borderId="0" xfId="0" applyFont="1" applyFill="1" applyAlignment="1">
      <alignment horizontal="left" vertical="center" wrapText="1"/>
    </xf>
    <xf numFmtId="0" fontId="12" fillId="30" borderId="0" xfId="0" applyFont="1" applyFill="1" applyAlignment="1">
      <alignment horizontal="left" vertical="center"/>
    </xf>
    <xf numFmtId="0" fontId="54" fillId="8" borderId="42" xfId="5" applyFont="1" applyFill="1" applyBorder="1" applyAlignment="1">
      <alignment horizontal="left" vertical="center" wrapText="1"/>
    </xf>
    <xf numFmtId="0" fontId="54" fillId="8" borderId="43" xfId="5" applyFont="1" applyFill="1" applyBorder="1" applyAlignment="1">
      <alignment horizontal="left" vertical="center" wrapText="1"/>
    </xf>
    <xf numFmtId="0" fontId="54" fillId="0" borderId="43" xfId="5" applyFont="1" applyBorder="1" applyAlignment="1">
      <alignment horizontal="left" vertical="center" wrapText="1"/>
    </xf>
    <xf numFmtId="0" fontId="47" fillId="23" borderId="38" xfId="0" applyFont="1" applyFill="1" applyBorder="1" applyAlignment="1">
      <alignment horizontal="center"/>
    </xf>
    <xf numFmtId="0" fontId="47" fillId="23" borderId="0" xfId="0" applyFont="1" applyFill="1" applyAlignment="1">
      <alignment horizontal="center"/>
    </xf>
    <xf numFmtId="0" fontId="63" fillId="4" borderId="0" xfId="5" applyFont="1" applyFill="1" applyAlignment="1">
      <alignment horizontal="center" vertical="center"/>
    </xf>
    <xf numFmtId="0" fontId="54" fillId="23" borderId="28" xfId="5" applyFont="1" applyFill="1" applyBorder="1" applyAlignment="1">
      <alignment horizontal="center" vertical="center"/>
    </xf>
    <xf numFmtId="0" fontId="54" fillId="23" borderId="31" xfId="5" applyFont="1" applyFill="1" applyBorder="1" applyAlignment="1">
      <alignment horizontal="center" vertical="center"/>
    </xf>
    <xf numFmtId="0" fontId="54" fillId="23" borderId="26" xfId="5" applyFont="1" applyFill="1" applyBorder="1" applyAlignment="1">
      <alignment horizontal="center" vertical="center"/>
    </xf>
    <xf numFmtId="0" fontId="54" fillId="23" borderId="29" xfId="5" applyFont="1" applyFill="1" applyBorder="1" applyAlignment="1">
      <alignment horizontal="center" vertical="center"/>
    </xf>
    <xf numFmtId="0" fontId="54" fillId="23" borderId="25" xfId="5" applyFont="1" applyFill="1" applyBorder="1" applyAlignment="1">
      <alignment horizontal="center" vertical="center"/>
    </xf>
    <xf numFmtId="0" fontId="57" fillId="23" borderId="29" xfId="5" applyFont="1" applyFill="1" applyBorder="1" applyAlignment="1">
      <alignment horizontal="center" vertical="center" wrapText="1"/>
    </xf>
    <xf numFmtId="0" fontId="57" fillId="23" borderId="25" xfId="5" applyFont="1" applyFill="1" applyBorder="1" applyAlignment="1">
      <alignment horizontal="center" vertical="center" wrapText="1"/>
    </xf>
    <xf numFmtId="0" fontId="62" fillId="13" borderId="0" xfId="0" applyFont="1" applyFill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54" fillId="23" borderId="37" xfId="5" applyFont="1" applyFill="1" applyBorder="1" applyAlignment="1">
      <alignment horizontal="center" vertical="center"/>
    </xf>
    <xf numFmtId="0" fontId="54" fillId="23" borderId="30" xfId="5" applyFont="1" applyFill="1" applyBorder="1" applyAlignment="1">
      <alignment horizontal="center" vertical="center"/>
    </xf>
    <xf numFmtId="0" fontId="54" fillId="23" borderId="38" xfId="5" applyFont="1" applyFill="1" applyBorder="1" applyAlignment="1">
      <alignment horizontal="center" vertical="center"/>
    </xf>
    <xf numFmtId="0" fontId="54" fillId="23" borderId="0" xfId="5" applyFont="1" applyFill="1" applyAlignment="1">
      <alignment horizontal="center" vertical="center"/>
    </xf>
    <xf numFmtId="0" fontId="57" fillId="23" borderId="38" xfId="5" applyFont="1" applyFill="1" applyBorder="1" applyAlignment="1">
      <alignment horizontal="center" vertical="center" wrapText="1"/>
    </xf>
    <xf numFmtId="0" fontId="57" fillId="23" borderId="0" xfId="5" applyFont="1" applyFill="1" applyAlignment="1">
      <alignment horizontal="center" vertical="center" wrapText="1"/>
    </xf>
    <xf numFmtId="0" fontId="0" fillId="27" borderId="4" xfId="0" applyFill="1" applyBorder="1" applyAlignment="1">
      <alignment horizontal="center" vertical="center"/>
    </xf>
    <xf numFmtId="3" fontId="59" fillId="27" borderId="4" xfId="0" applyNumberFormat="1" applyFont="1" applyFill="1" applyBorder="1" applyAlignment="1" applyProtection="1">
      <alignment horizontal="center" vertical="center" wrapText="1"/>
      <protection locked="0"/>
    </xf>
    <xf numFmtId="0" fontId="57" fillId="23" borderId="33" xfId="5" applyFont="1" applyFill="1" applyBorder="1" applyAlignment="1">
      <alignment horizontal="center" vertical="center" wrapText="1"/>
    </xf>
    <xf numFmtId="0" fontId="57" fillId="23" borderId="5" xfId="5" applyFont="1" applyFill="1" applyBorder="1" applyAlignment="1">
      <alignment horizontal="center" vertical="center" wrapText="1"/>
    </xf>
    <xf numFmtId="3" fontId="57" fillId="26" borderId="4" xfId="5" applyNumberFormat="1" applyFont="1" applyFill="1" applyBorder="1" applyAlignment="1">
      <alignment horizontal="center" vertical="center" wrapText="1"/>
    </xf>
    <xf numFmtId="3" fontId="57" fillId="27" borderId="4" xfId="5" applyNumberFormat="1" applyFont="1" applyFill="1" applyBorder="1" applyAlignment="1">
      <alignment horizontal="center" vertical="center" wrapText="1"/>
    </xf>
    <xf numFmtId="3" fontId="57" fillId="23" borderId="9" xfId="5" applyNumberFormat="1" applyFont="1" applyFill="1" applyBorder="1" applyAlignment="1">
      <alignment horizontal="center" vertical="center" wrapText="1"/>
    </xf>
    <xf numFmtId="3" fontId="57" fillId="23" borderId="39" xfId="5" applyNumberFormat="1" applyFont="1" applyFill="1" applyBorder="1" applyAlignment="1">
      <alignment horizontal="center" vertical="center" wrapText="1"/>
    </xf>
    <xf numFmtId="3" fontId="57" fillId="23" borderId="10" xfId="5" applyNumberFormat="1" applyFont="1" applyFill="1" applyBorder="1" applyAlignment="1">
      <alignment horizontal="center" vertical="center" wrapText="1"/>
    </xf>
    <xf numFmtId="3" fontId="59" fillId="24" borderId="4" xfId="0" applyNumberFormat="1" applyFont="1" applyFill="1" applyBorder="1" applyAlignment="1" applyProtection="1">
      <alignment horizontal="center" vertical="center" wrapText="1"/>
      <protection locked="0"/>
    </xf>
    <xf numFmtId="3" fontId="57" fillId="25" borderId="4" xfId="5" applyNumberFormat="1" applyFont="1" applyFill="1" applyBorder="1" applyAlignment="1">
      <alignment horizontal="center" vertical="center" wrapText="1"/>
    </xf>
  </cellXfs>
  <cellStyles count="12">
    <cellStyle name="Bueno" xfId="3" builtinId="26"/>
    <cellStyle name="Cálculo" xfId="4" builtinId="22"/>
    <cellStyle name="Millares [0]" xfId="1" builtinId="6"/>
    <cellStyle name="Millares [0] 2" xfId="7" xr:uid="{00000000-0005-0000-0000-000003000000}"/>
    <cellStyle name="Millares 2" xfId="6" xr:uid="{00000000-0005-0000-0000-000004000000}"/>
    <cellStyle name="Moneda" xfId="10" builtinId="4"/>
    <cellStyle name="Moneda [0]" xfId="11" builtinId="7"/>
    <cellStyle name="Moneda 2" xfId="8" xr:uid="{00000000-0005-0000-0000-000007000000}"/>
    <cellStyle name="Neutral 2" xfId="9" xr:uid="{00000000-0005-0000-0000-000008000000}"/>
    <cellStyle name="Normal" xfId="0" builtinId="0"/>
    <cellStyle name="Normal 2" xfId="5" xr:uid="{00000000-0005-0000-0000-00000A000000}"/>
    <cellStyle name="Porcentaje" xfId="2" builtinId="5"/>
  </cellStyles>
  <dxfs count="3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C6867F-36DE-445D-BE44-FE297225F9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970CC0-DF19-432E-AACE-B309F963F5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031C97-609E-42CF-9A98-68E848D3CB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F26A90-21BA-44FB-B83A-6EABD6B063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325437</xdr:colOff>
      <xdr:row>0</xdr:row>
      <xdr:rowOff>166689</xdr:rowOff>
    </xdr:from>
    <xdr:to>
      <xdr:col>2</xdr:col>
      <xdr:colOff>881062</xdr:colOff>
      <xdr:row>6</xdr:row>
      <xdr:rowOff>150814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243686-5E57-4E78-8022-789021CE0C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44"/>
        <a:stretch/>
      </xdr:blipFill>
      <xdr:spPr>
        <a:xfrm>
          <a:off x="395287" y="166689"/>
          <a:ext cx="2600325" cy="1165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365125</xdr:colOff>
      <xdr:row>0</xdr:row>
      <xdr:rowOff>142875</xdr:rowOff>
    </xdr:from>
    <xdr:to>
      <xdr:col>0</xdr:col>
      <xdr:colOff>1314450</xdr:colOff>
      <xdr:row>5</xdr:row>
      <xdr:rowOff>79004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D118AD-96FA-4988-99F1-99CD122FE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125" y="142875"/>
          <a:ext cx="949325" cy="94577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1037167</xdr:colOff>
      <xdr:row>0</xdr:row>
      <xdr:rowOff>95251</xdr:rowOff>
    </xdr:from>
    <xdr:to>
      <xdr:col>1</xdr:col>
      <xdr:colOff>2751667</xdr:colOff>
      <xdr:row>2</xdr:row>
      <xdr:rowOff>323628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26C660-F800-4B72-B2BE-D29861142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67" y="95251"/>
          <a:ext cx="1714500" cy="84750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1037167</xdr:colOff>
      <xdr:row>0</xdr:row>
      <xdr:rowOff>95251</xdr:rowOff>
    </xdr:from>
    <xdr:to>
      <xdr:col>1</xdr:col>
      <xdr:colOff>2759287</xdr:colOff>
      <xdr:row>2</xdr:row>
      <xdr:rowOff>327438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8CADA0-A4A4-42FD-9951-6292DD7A1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67" y="95251"/>
          <a:ext cx="1722120" cy="8513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1037167</xdr:colOff>
      <xdr:row>0</xdr:row>
      <xdr:rowOff>95251</xdr:rowOff>
    </xdr:from>
    <xdr:to>
      <xdr:col>1</xdr:col>
      <xdr:colOff>2751667</xdr:colOff>
      <xdr:row>2</xdr:row>
      <xdr:rowOff>323628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942FEF-4C07-43C3-9D1E-FA825EECA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67" y="95251"/>
          <a:ext cx="1714500" cy="84750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589492</xdr:colOff>
      <xdr:row>0</xdr:row>
      <xdr:rowOff>76201</xdr:rowOff>
    </xdr:from>
    <xdr:ext cx="1220258" cy="599472"/>
    <xdr:pic>
      <xdr:nvPicPr>
        <xdr:cNvPr id="2" name="Imagen 1">
          <a:extLst>
            <a:ext uri="{FF2B5EF4-FFF2-40B4-BE49-F238E27FC236}">
              <a16:creationId xmlns:a16="http://schemas.microsoft.com/office/drawing/2014/main" id="{D18F6A92-7BF8-405B-8A36-F5F301201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492" y="76201"/>
          <a:ext cx="1220258" cy="599472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542925</xdr:colOff>
      <xdr:row>0</xdr:row>
      <xdr:rowOff>47626</xdr:rowOff>
    </xdr:from>
    <xdr:ext cx="1206712" cy="592817"/>
    <xdr:pic>
      <xdr:nvPicPr>
        <xdr:cNvPr id="2" name="Imagen 1">
          <a:extLst>
            <a:ext uri="{FF2B5EF4-FFF2-40B4-BE49-F238E27FC236}">
              <a16:creationId xmlns:a16="http://schemas.microsoft.com/office/drawing/2014/main" id="{BAC128D2-C841-4869-91A2-E324C6F12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47626"/>
          <a:ext cx="1206712" cy="59281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39"/>
  <sheetViews>
    <sheetView topLeftCell="A9" workbookViewId="0">
      <selection activeCell="D25" sqref="D25"/>
    </sheetView>
  </sheetViews>
  <sheetFormatPr defaultColWidth="11.42578125" defaultRowHeight="15"/>
  <cols>
    <col min="2" max="2" width="36" customWidth="1"/>
    <col min="3" max="3" width="20.7109375" bestFit="1" customWidth="1"/>
    <col min="4" max="5" width="20.28515625" bestFit="1" customWidth="1"/>
    <col min="6" max="6" width="12.5703125" bestFit="1" customWidth="1"/>
  </cols>
  <sheetData>
    <row r="2" spans="2:9" ht="15.75">
      <c r="B2" s="442" t="s">
        <v>0</v>
      </c>
      <c r="C2" s="442"/>
      <c r="D2" s="253"/>
      <c r="E2" s="253"/>
      <c r="F2" s="253"/>
      <c r="G2" s="253"/>
      <c r="H2" s="253"/>
      <c r="I2" s="253"/>
    </row>
    <row r="3" spans="2:9" ht="15.75">
      <c r="B3" s="253"/>
      <c r="C3" s="253"/>
      <c r="D3" s="253"/>
      <c r="E3" s="253"/>
      <c r="F3" s="253"/>
      <c r="G3" s="253"/>
      <c r="H3" s="253"/>
      <c r="I3" s="253"/>
    </row>
    <row r="4" spans="2:9" ht="15.75">
      <c r="B4" s="414" t="s">
        <v>1</v>
      </c>
      <c r="C4" s="254" t="s">
        <v>2</v>
      </c>
      <c r="D4" s="254" t="s">
        <v>3</v>
      </c>
      <c r="E4" s="254" t="s">
        <v>4</v>
      </c>
      <c r="F4" s="253"/>
      <c r="G4" s="253"/>
      <c r="H4" s="253"/>
      <c r="I4" s="253"/>
    </row>
    <row r="5" spans="2:9" ht="15.75">
      <c r="B5" s="259" t="s">
        <v>5</v>
      </c>
      <c r="C5" s="342">
        <f>ROUND(agosto2026!$L$56,0)</f>
        <v>270048404</v>
      </c>
      <c r="D5" s="342">
        <f>ROUND(agosto2026!$U$56,0)</f>
        <v>236929662</v>
      </c>
      <c r="E5" s="342">
        <f t="shared" ref="E5:E9" si="0">C5+D5</f>
        <v>506978066</v>
      </c>
      <c r="F5" s="253"/>
      <c r="G5" s="253"/>
      <c r="H5" s="253"/>
      <c r="I5" s="253"/>
    </row>
    <row r="6" spans="2:9" ht="15.75">
      <c r="B6" s="259" t="s">
        <v>6</v>
      </c>
      <c r="C6" s="342">
        <f>ROUND(septiembre2026!$L$56,0)</f>
        <v>270048404</v>
      </c>
      <c r="D6" s="342">
        <f>ROUND(septiembre2026!$U$56,0)</f>
        <v>236929662</v>
      </c>
      <c r="E6" s="342">
        <f t="shared" si="0"/>
        <v>506978066</v>
      </c>
      <c r="F6" s="253"/>
      <c r="G6" s="253"/>
      <c r="H6" s="253"/>
      <c r="I6" s="253"/>
    </row>
    <row r="7" spans="2:9" ht="15.75">
      <c r="B7" s="259" t="s">
        <v>7</v>
      </c>
      <c r="C7" s="342">
        <f>ROUND(octubre2026!$L$56,0)</f>
        <v>270048404</v>
      </c>
      <c r="D7" s="342">
        <f>ROUND(octubre2026!$U$56,0)</f>
        <v>236929662</v>
      </c>
      <c r="E7" s="342">
        <f t="shared" si="0"/>
        <v>506978066</v>
      </c>
      <c r="F7" s="253"/>
      <c r="G7" s="253"/>
      <c r="H7" s="253"/>
      <c r="I7" s="253"/>
    </row>
    <row r="8" spans="2:9" ht="15.75">
      <c r="B8" s="259" t="s">
        <v>8</v>
      </c>
      <c r="C8" s="342">
        <f>ROUND(noviembre2026!$L$56,0)</f>
        <v>270048404</v>
      </c>
      <c r="D8" s="342">
        <f>ROUND(noviembre2026!$U$56,0)</f>
        <v>236929662</v>
      </c>
      <c r="E8" s="342">
        <f t="shared" si="0"/>
        <v>506978066</v>
      </c>
      <c r="F8" s="253"/>
      <c r="G8" s="253"/>
      <c r="H8" s="253"/>
      <c r="I8" s="253"/>
    </row>
    <row r="9" spans="2:9" ht="15.75">
      <c r="B9" s="259" t="s">
        <v>9</v>
      </c>
      <c r="C9" s="342">
        <f>ROUND(noviembre2026!$L$56/2,0)</f>
        <v>135024202</v>
      </c>
      <c r="D9" s="342">
        <f>ROUND(noviembre2026!$U$56/2,0)</f>
        <v>118464831</v>
      </c>
      <c r="E9" s="342">
        <f t="shared" si="0"/>
        <v>253489033</v>
      </c>
      <c r="F9" s="255"/>
      <c r="G9" s="253"/>
      <c r="H9" s="253"/>
      <c r="I9" s="253"/>
    </row>
    <row r="10" spans="2:9" ht="15.75">
      <c r="B10" s="256" t="s">
        <v>4</v>
      </c>
      <c r="C10" s="347">
        <f>SUM(C5:C9)</f>
        <v>1215217818</v>
      </c>
      <c r="D10" s="347">
        <f>SUM(D5:D9)</f>
        <v>1066183479</v>
      </c>
      <c r="E10" s="347">
        <f>SUM(E5:E9)</f>
        <v>2281401297</v>
      </c>
      <c r="F10" s="253"/>
      <c r="G10" s="253"/>
      <c r="H10" s="253"/>
      <c r="I10" s="253"/>
    </row>
    <row r="11" spans="2:9" ht="15.75">
      <c r="B11" s="253"/>
      <c r="C11" s="253"/>
      <c r="D11" s="253"/>
      <c r="E11" s="253"/>
      <c r="F11" s="253"/>
      <c r="G11" s="253"/>
      <c r="H11" s="253"/>
      <c r="I11" s="253"/>
    </row>
    <row r="12" spans="2:9" ht="30" customHeight="1">
      <c r="B12" s="253"/>
      <c r="C12" s="253"/>
      <c r="D12" s="253"/>
      <c r="E12" s="253"/>
      <c r="F12" s="253"/>
      <c r="G12" s="253"/>
      <c r="H12" s="253"/>
      <c r="I12" s="253"/>
    </row>
    <row r="13" spans="2:9" ht="15.75">
      <c r="B13" s="253"/>
      <c r="C13" s="253"/>
      <c r="D13" s="253"/>
      <c r="E13" s="253"/>
      <c r="F13" s="253"/>
      <c r="G13" s="253"/>
      <c r="H13" s="253"/>
      <c r="I13" s="253"/>
    </row>
    <row r="14" spans="2:9" ht="15.75">
      <c r="B14" s="253"/>
      <c r="C14" s="253"/>
      <c r="D14" s="253"/>
      <c r="E14" s="253"/>
      <c r="F14" s="253"/>
      <c r="G14" s="253"/>
      <c r="H14" s="253"/>
      <c r="I14" s="253"/>
    </row>
    <row r="15" spans="2:9" ht="15.75">
      <c r="B15" s="260" t="s">
        <v>10</v>
      </c>
      <c r="C15" s="260"/>
      <c r="D15" s="257"/>
      <c r="E15" s="257"/>
      <c r="F15" s="253"/>
      <c r="G15" s="253"/>
      <c r="H15" s="253"/>
      <c r="I15" s="261"/>
    </row>
    <row r="16" spans="2:9" ht="15.75">
      <c r="B16" s="252"/>
      <c r="C16" s="252"/>
      <c r="D16" s="257"/>
      <c r="E16" s="257"/>
      <c r="F16" s="253"/>
      <c r="G16" s="253"/>
      <c r="H16" s="253"/>
      <c r="I16" s="253"/>
    </row>
    <row r="17" spans="2:9" ht="15.75">
      <c r="B17" s="258" t="s">
        <v>11</v>
      </c>
      <c r="C17" s="254" t="s">
        <v>2</v>
      </c>
      <c r="D17" s="254" t="s">
        <v>3</v>
      </c>
      <c r="E17" s="254" t="s">
        <v>4</v>
      </c>
      <c r="F17" s="253"/>
      <c r="G17" s="253"/>
      <c r="H17" s="253"/>
      <c r="I17" s="253"/>
    </row>
    <row r="18" spans="2:9" ht="15.75">
      <c r="B18" s="344" t="s">
        <v>12</v>
      </c>
      <c r="C18" s="346">
        <f>+'MONITOREO '!E37</f>
        <v>9018504</v>
      </c>
      <c r="D18" s="346">
        <f>+'MONITOREO '!E38</f>
        <v>9838368</v>
      </c>
      <c r="E18" s="346">
        <f>+C18+D18</f>
        <v>18856872</v>
      </c>
      <c r="F18" s="253"/>
      <c r="G18" s="253"/>
      <c r="H18" s="253"/>
      <c r="I18" s="253"/>
    </row>
    <row r="19" spans="2:9" ht="15.75">
      <c r="B19" s="345" t="s">
        <v>13</v>
      </c>
      <c r="C19" s="342">
        <f>+'MTO ALARMAS '!E40</f>
        <v>6120103</v>
      </c>
      <c r="D19" s="342">
        <f>+'MTO ALARMAS '!E41</f>
        <v>6676476</v>
      </c>
      <c r="E19" s="346">
        <f t="shared" ref="E19:E21" si="1">+C19+D19</f>
        <v>12796579</v>
      </c>
      <c r="F19" s="253"/>
      <c r="G19" s="253"/>
      <c r="H19" s="253"/>
      <c r="I19" s="253"/>
    </row>
    <row r="20" spans="2:9" ht="31.5">
      <c r="B20" s="345" t="s">
        <v>14</v>
      </c>
      <c r="C20" s="342">
        <f>+'ADQUISICION  ALARMAS '!D5</f>
        <v>20801303</v>
      </c>
      <c r="D20" s="342"/>
      <c r="E20" s="346">
        <f t="shared" si="1"/>
        <v>20801303</v>
      </c>
      <c r="F20" s="253"/>
      <c r="G20" s="253"/>
      <c r="H20" s="253"/>
      <c r="I20" s="253"/>
    </row>
    <row r="21" spans="2:9" ht="15.75">
      <c r="B21" s="254" t="s">
        <v>4</v>
      </c>
      <c r="C21" s="343">
        <f>SUM(C18:C20)</f>
        <v>35939910</v>
      </c>
      <c r="D21" s="343">
        <f>SUM(D18:D20)</f>
        <v>16514844</v>
      </c>
      <c r="E21" s="343">
        <f t="shared" si="1"/>
        <v>52454754</v>
      </c>
      <c r="F21" s="253"/>
      <c r="G21" s="253"/>
      <c r="H21" s="253"/>
      <c r="I21" s="253"/>
    </row>
    <row r="22" spans="2:9" ht="15.75">
      <c r="B22" s="262"/>
      <c r="C22" s="263"/>
      <c r="D22" s="263"/>
      <c r="E22" s="263"/>
      <c r="F22" s="253"/>
      <c r="G22" s="253"/>
      <c r="H22" s="253"/>
      <c r="I22" s="253"/>
    </row>
    <row r="23" spans="2:9" ht="15.75">
      <c r="B23" s="262"/>
      <c r="C23" s="263"/>
      <c r="D23" s="263"/>
      <c r="E23" s="263"/>
      <c r="F23" s="253"/>
      <c r="G23" s="253"/>
      <c r="H23" s="253"/>
      <c r="I23" s="253"/>
    </row>
    <row r="24" spans="2:9" ht="15.75">
      <c r="B24" s="262"/>
      <c r="C24" s="263"/>
      <c r="D24" s="263"/>
      <c r="E24" s="263"/>
      <c r="F24" s="253"/>
      <c r="G24" s="253"/>
      <c r="H24" s="253"/>
      <c r="I24" s="253"/>
    </row>
    <row r="25" spans="2:9" ht="15.75">
      <c r="B25" s="262"/>
      <c r="C25" s="263"/>
      <c r="D25" s="263"/>
      <c r="E25" s="263"/>
      <c r="F25" s="253"/>
      <c r="G25" s="253"/>
      <c r="H25" s="253"/>
      <c r="I25" s="253"/>
    </row>
    <row r="26" spans="2:9" ht="15.75">
      <c r="B26" s="262"/>
      <c r="C26" s="263"/>
      <c r="D26" s="263"/>
      <c r="E26" s="263"/>
      <c r="F26" s="253"/>
      <c r="G26" s="253"/>
      <c r="H26" s="253"/>
      <c r="I26" s="253"/>
    </row>
    <row r="27" spans="2:9" ht="15.75">
      <c r="B27" s="253"/>
      <c r="C27" s="253"/>
      <c r="D27" s="253"/>
      <c r="E27" s="253"/>
      <c r="F27" s="253"/>
      <c r="G27" s="253"/>
      <c r="H27" s="253"/>
      <c r="I27" s="253"/>
    </row>
    <row r="28" spans="2:9" ht="15.75">
      <c r="B28" s="253"/>
      <c r="C28" s="253"/>
      <c r="D28" s="253"/>
      <c r="E28" s="253"/>
      <c r="F28" s="253"/>
      <c r="G28" s="253"/>
      <c r="H28" s="253"/>
      <c r="I28" s="253"/>
    </row>
    <row r="29" spans="2:9" ht="15.75">
      <c r="B29" s="264" t="s">
        <v>15</v>
      </c>
      <c r="C29" s="265" t="s">
        <v>2</v>
      </c>
      <c r="D29" s="265" t="s">
        <v>3</v>
      </c>
      <c r="E29" s="265" t="s">
        <v>4</v>
      </c>
      <c r="F29" s="253"/>
      <c r="G29" s="253"/>
      <c r="H29" s="253"/>
      <c r="I29" s="253"/>
    </row>
    <row r="30" spans="2:9" ht="15.75">
      <c r="B30" s="266" t="s">
        <v>16</v>
      </c>
      <c r="C30" s="348">
        <f>C10+C21</f>
        <v>1251157728</v>
      </c>
      <c r="D30" s="348">
        <f>D10+D21</f>
        <v>1082698323</v>
      </c>
      <c r="E30" s="348">
        <f>E10+E21</f>
        <v>2333856051</v>
      </c>
      <c r="F30" s="253"/>
      <c r="G30" s="253"/>
      <c r="H30" s="253"/>
      <c r="I30" s="253"/>
    </row>
    <row r="31" spans="2:9" ht="15.75">
      <c r="B31" s="253"/>
      <c r="C31" s="253"/>
      <c r="D31" s="267"/>
      <c r="E31" s="253"/>
      <c r="F31" s="253"/>
      <c r="G31" s="253"/>
      <c r="H31" s="253"/>
      <c r="I31" s="253"/>
    </row>
    <row r="32" spans="2:9" ht="15.75">
      <c r="B32" s="253"/>
      <c r="C32" s="253"/>
      <c r="D32" s="253"/>
      <c r="E32" s="253"/>
      <c r="F32" s="253"/>
      <c r="G32" s="253"/>
      <c r="H32" s="253"/>
      <c r="I32" s="253"/>
    </row>
    <row r="33" spans="2:9" ht="16.5" thickBot="1">
      <c r="B33" s="253" t="s">
        <v>17</v>
      </c>
      <c r="C33" s="253"/>
      <c r="D33" s="268"/>
      <c r="E33" s="253"/>
      <c r="F33" s="253"/>
      <c r="G33" s="253"/>
      <c r="H33" s="253"/>
      <c r="I33" s="253"/>
    </row>
    <row r="34" spans="2:9" ht="16.5" thickBot="1">
      <c r="B34" s="269" t="s">
        <v>18</v>
      </c>
      <c r="C34" s="270" t="s">
        <v>2</v>
      </c>
      <c r="D34" s="270" t="s">
        <v>19</v>
      </c>
      <c r="E34" s="270" t="s">
        <v>20</v>
      </c>
      <c r="F34" s="253"/>
      <c r="G34" s="253"/>
      <c r="H34" s="253"/>
      <c r="I34" s="253"/>
    </row>
    <row r="35" spans="2:9" ht="16.5" thickBot="1">
      <c r="B35" s="271" t="s">
        <v>21</v>
      </c>
      <c r="C35" s="349">
        <v>1593495961</v>
      </c>
      <c r="D35" s="349">
        <v>2917108546</v>
      </c>
      <c r="E35" s="349">
        <f>C35+D35</f>
        <v>4510604507</v>
      </c>
      <c r="F35" s="253"/>
      <c r="G35" s="253"/>
      <c r="H35" s="253"/>
      <c r="I35" s="253"/>
    </row>
    <row r="36" spans="2:9" ht="15.75">
      <c r="B36" s="253"/>
      <c r="C36" s="253"/>
      <c r="D36" s="253"/>
      <c r="E36" s="253"/>
      <c r="F36" s="253"/>
      <c r="G36" s="253"/>
      <c r="H36" s="253"/>
      <c r="I36" s="253"/>
    </row>
    <row r="37" spans="2:9" ht="15.75">
      <c r="B37" s="253"/>
      <c r="C37" s="253"/>
      <c r="D37" s="253"/>
      <c r="E37" s="253"/>
      <c r="F37" s="253"/>
      <c r="G37" s="253"/>
      <c r="H37" s="253"/>
      <c r="I37" s="253"/>
    </row>
    <row r="38" spans="2:9" ht="15.75">
      <c r="B38" s="253"/>
      <c r="C38" s="255"/>
      <c r="D38" s="267"/>
      <c r="E38" s="253"/>
      <c r="F38" s="253"/>
      <c r="G38" s="253"/>
      <c r="H38" s="253"/>
      <c r="I38" s="253"/>
    </row>
    <row r="39" spans="2:9" ht="15.75">
      <c r="B39" s="253"/>
      <c r="C39" s="253"/>
      <c r="D39" s="253"/>
      <c r="E39" s="253"/>
      <c r="F39" s="253"/>
      <c r="G39" s="253"/>
      <c r="H39" s="253"/>
      <c r="I39" s="253"/>
    </row>
  </sheetData>
  <mergeCells count="1">
    <mergeCell ref="B2:C2"/>
  </mergeCells>
  <pageMargins left="0.7" right="0.7" top="0.75" bottom="0.75" header="0.3" footer="0.3"/>
  <pageSetup orientation="portrait" r:id="rId1"/>
  <headerFooter>
    <oddFooter>&amp;L_x000D_&amp;1#&amp;"Aptos"&amp;10&amp;K000000 Informacion publica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69"/>
  <sheetViews>
    <sheetView showGridLines="0" zoomScale="60" zoomScaleNormal="60" workbookViewId="0">
      <selection activeCell="D24" sqref="D24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15.8554687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15.140625" style="151" customWidth="1"/>
    <col min="12" max="12" width="28.140625" style="152" customWidth="1"/>
    <col min="13" max="13" width="20.5703125" style="152" bestFit="1" customWidth="1"/>
    <col min="14" max="14" width="15.42578125" style="86" customWidth="1"/>
    <col min="15" max="15" width="14" style="86" customWidth="1"/>
    <col min="16" max="16" width="25.5703125" style="153" customWidth="1"/>
    <col min="17" max="17" width="20.5703125" style="154" bestFit="1" customWidth="1"/>
    <col min="18" max="18" width="18.28515625" style="154" bestFit="1" customWidth="1"/>
    <col min="19" max="19" width="17" style="154" customWidth="1"/>
    <col min="20" max="20" width="23.42578125" style="155" bestFit="1" customWidth="1"/>
    <col min="21" max="21" width="23.85546875" style="155" customWidth="1"/>
    <col min="22" max="22" width="16" style="2" customWidth="1"/>
    <col min="23" max="23" width="24" style="2" customWidth="1"/>
    <col min="24" max="24" width="22.42578125" style="2" customWidth="1"/>
    <col min="25" max="16384" width="25.7109375" style="2"/>
  </cols>
  <sheetData>
    <row r="1" spans="1:24" ht="15.75">
      <c r="A1" s="1"/>
      <c r="B1" s="444" t="s">
        <v>22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</row>
    <row r="2" spans="1:24" ht="15.75">
      <c r="A2" s="1"/>
      <c r="B2" s="3"/>
      <c r="C2" s="4"/>
      <c r="D2" s="445" t="s">
        <v>23</v>
      </c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5"/>
      <c r="Q2" s="6"/>
      <c r="R2" s="7"/>
      <c r="S2" s="4"/>
      <c r="T2" s="4"/>
      <c r="U2" s="4"/>
    </row>
    <row r="3" spans="1:24" ht="15.75">
      <c r="A3" s="1"/>
      <c r="B3" s="3"/>
      <c r="C3" s="4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5"/>
      <c r="Q3" s="6"/>
      <c r="R3" s="8"/>
      <c r="S3" s="4"/>
      <c r="T3" s="4"/>
      <c r="U3" s="4"/>
    </row>
    <row r="4" spans="1:24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4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4" ht="15.75">
      <c r="A6" s="1"/>
      <c r="B6" s="13"/>
      <c r="C6" s="13"/>
      <c r="D6" s="9" t="s">
        <v>24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25</v>
      </c>
      <c r="Q6" s="19"/>
      <c r="R6" s="24"/>
      <c r="S6" s="21"/>
      <c r="T6" s="21"/>
      <c r="U6" s="21"/>
    </row>
    <row r="7" spans="1:24" ht="15.75">
      <c r="A7" s="1"/>
      <c r="B7" s="13"/>
      <c r="C7" s="13"/>
      <c r="D7" s="9" t="s">
        <v>26</v>
      </c>
      <c r="E7" s="272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4" ht="15.75">
      <c r="A8" s="1"/>
      <c r="B8" s="13"/>
      <c r="C8" s="13"/>
      <c r="D8" s="27" t="s">
        <v>27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28</v>
      </c>
      <c r="P8" s="17"/>
      <c r="Q8" s="30" t="s">
        <v>29</v>
      </c>
      <c r="R8" s="21"/>
      <c r="S8" s="21"/>
      <c r="T8" s="21"/>
      <c r="U8" s="21"/>
    </row>
    <row r="9" spans="1:24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30</v>
      </c>
      <c r="P9" s="17"/>
      <c r="Q9" s="30" t="s">
        <v>31</v>
      </c>
      <c r="R9" s="21"/>
      <c r="S9" s="21"/>
      <c r="T9" s="21"/>
      <c r="U9" s="21"/>
    </row>
    <row r="10" spans="1:24" ht="15.75">
      <c r="A10" s="1"/>
      <c r="B10" s="446" t="s">
        <v>32</v>
      </c>
      <c r="C10" s="446"/>
      <c r="D10" s="446"/>
      <c r="E10" s="446"/>
      <c r="F10" s="446"/>
      <c r="G10" s="446"/>
      <c r="H10" s="446"/>
      <c r="I10" s="446"/>
      <c r="J10" s="446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31"/>
      <c r="X10" s="191"/>
    </row>
    <row r="11" spans="1:24" s="33" customFormat="1" ht="45.75" customHeight="1">
      <c r="A11" s="32"/>
      <c r="B11" s="173" t="s">
        <v>33</v>
      </c>
      <c r="C11" s="174" t="s">
        <v>34</v>
      </c>
      <c r="D11" s="174" t="s">
        <v>35</v>
      </c>
      <c r="E11" s="174" t="s">
        <v>36</v>
      </c>
      <c r="F11" s="174" t="s">
        <v>37</v>
      </c>
      <c r="G11" s="174" t="s">
        <v>38</v>
      </c>
      <c r="H11" s="174" t="s">
        <v>39</v>
      </c>
      <c r="I11" s="174" t="s">
        <v>40</v>
      </c>
      <c r="J11" s="174" t="s">
        <v>41</v>
      </c>
      <c r="K11" s="175" t="s">
        <v>26</v>
      </c>
      <c r="L11" s="176" t="s">
        <v>42</v>
      </c>
      <c r="M11" s="177" t="s">
        <v>43</v>
      </c>
      <c r="N11" s="178" t="s">
        <v>26</v>
      </c>
      <c r="O11" s="179" t="s">
        <v>44</v>
      </c>
      <c r="P11" s="177" t="s">
        <v>45</v>
      </c>
      <c r="Q11" s="177" t="s">
        <v>43</v>
      </c>
      <c r="R11" s="177" t="s">
        <v>46</v>
      </c>
      <c r="S11" s="177" t="s">
        <v>47</v>
      </c>
      <c r="T11" s="177" t="s">
        <v>4</v>
      </c>
      <c r="U11" s="179" t="s">
        <v>48</v>
      </c>
      <c r="X11" s="192">
        <v>0.03</v>
      </c>
    </row>
    <row r="12" spans="1:24" s="43" customFormat="1" ht="37.5" customHeight="1">
      <c r="A12" s="34"/>
      <c r="B12" s="447" t="s">
        <v>49</v>
      </c>
      <c r="C12" s="164">
        <v>2</v>
      </c>
      <c r="D12" s="165" t="s">
        <v>50</v>
      </c>
      <c r="E12" s="166" t="s">
        <v>51</v>
      </c>
      <c r="F12" s="166" t="s">
        <v>52</v>
      </c>
      <c r="G12" s="166">
        <v>11</v>
      </c>
      <c r="H12" s="166" t="s">
        <v>29</v>
      </c>
      <c r="I12" s="167">
        <v>13</v>
      </c>
      <c r="J12" s="415">
        <v>22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10558076.014002001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844646.08112016006</v>
      </c>
      <c r="Q12" s="170">
        <f>+M12+O12+P12</f>
        <v>11404720.09512216</v>
      </c>
      <c r="R12" s="170">
        <f>+Q12*10%</f>
        <v>1140472.0095122161</v>
      </c>
      <c r="S12" s="170">
        <f>+R12*19%</f>
        <v>216689.68180732106</v>
      </c>
      <c r="T12" s="170">
        <f>+Q12+S12</f>
        <v>11621409.776929481</v>
      </c>
      <c r="U12" s="172" t="s">
        <v>53</v>
      </c>
      <c r="W12" s="187">
        <v>2750</v>
      </c>
      <c r="X12" s="187">
        <f>(W12*$X$11)+W12</f>
        <v>2832.5</v>
      </c>
    </row>
    <row r="13" spans="1:24" s="43" customFormat="1" ht="37.5" customHeight="1">
      <c r="A13" s="34"/>
      <c r="B13" s="448"/>
      <c r="C13" s="164">
        <v>2</v>
      </c>
      <c r="D13" s="165" t="s">
        <v>54</v>
      </c>
      <c r="E13" s="166" t="s">
        <v>51</v>
      </c>
      <c r="F13" s="166" t="s">
        <v>52</v>
      </c>
      <c r="G13" s="166">
        <v>1</v>
      </c>
      <c r="H13" s="166" t="s">
        <v>31</v>
      </c>
      <c r="I13" s="167">
        <v>11</v>
      </c>
      <c r="J13" s="415">
        <v>22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1249226.594694</v>
      </c>
      <c r="N13" s="41">
        <f t="shared" ref="N13:N19" si="1">+IF(E13="SIN ARMA",8%,IF(E13="CON ARMA",10%,0))</f>
        <v>0.08</v>
      </c>
      <c r="O13" s="180">
        <f>+'ESTUDIO DE MERCADO_SEGURO'!$M8</f>
        <v>1548</v>
      </c>
      <c r="P13" s="40">
        <f t="shared" ref="P13:P40" si="2">+M13*N13</f>
        <v>99938.127575520004</v>
      </c>
      <c r="Q13" s="40">
        <f>+M13+O13+P13</f>
        <v>1350712.7222695199</v>
      </c>
      <c r="R13" s="40">
        <f t="shared" ref="R13:R40" si="3">+Q13*10%</f>
        <v>135071.27222695199</v>
      </c>
      <c r="S13" s="40">
        <f t="shared" ref="S13:S40" si="4">+R13*19%</f>
        <v>25663.541723120878</v>
      </c>
      <c r="T13" s="40">
        <f>+Q13+S13</f>
        <v>1376376.2639926409</v>
      </c>
      <c r="U13" s="42" t="s">
        <v>53</v>
      </c>
      <c r="W13" s="187">
        <v>1375</v>
      </c>
      <c r="X13" s="187">
        <f t="shared" ref="X13:X40" si="5">(W13*$X$11)+W13</f>
        <v>1416.25</v>
      </c>
    </row>
    <row r="14" spans="1:24" s="43" customFormat="1" ht="37.5" customHeight="1">
      <c r="A14" s="34"/>
      <c r="B14" s="448"/>
      <c r="C14" s="35">
        <v>1</v>
      </c>
      <c r="D14" s="165" t="s">
        <v>55</v>
      </c>
      <c r="E14" s="37" t="s">
        <v>51</v>
      </c>
      <c r="F14" s="37" t="s">
        <v>52</v>
      </c>
      <c r="G14" s="37">
        <f t="shared" ref="G14:G16" si="6">IF(F14="24 HORAS",24,IF(F14="12 HORAS",12,0))</f>
        <v>12</v>
      </c>
      <c r="H14" s="37" t="s">
        <v>29</v>
      </c>
      <c r="I14" s="157">
        <v>13</v>
      </c>
      <c r="J14" s="162">
        <v>22</v>
      </c>
      <c r="K14" s="160">
        <f t="shared" ref="K14:K19" si="7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5758950.5530920001</v>
      </c>
      <c r="N14" s="41">
        <f t="shared" si="1"/>
        <v>0.08</v>
      </c>
      <c r="O14" s="180">
        <f>+'ESTUDIO DE MERCADO_SEGURO'!$M9</f>
        <v>1548</v>
      </c>
      <c r="P14" s="40">
        <f t="shared" si="2"/>
        <v>460716.04424736003</v>
      </c>
      <c r="Q14" s="40">
        <f t="shared" ref="Q14:Q40" si="8">+M14+O14+P14</f>
        <v>6221214.59733936</v>
      </c>
      <c r="R14" s="40">
        <f t="shared" si="3"/>
        <v>622121.459733936</v>
      </c>
      <c r="S14" s="40">
        <f t="shared" si="4"/>
        <v>118203.07734944785</v>
      </c>
      <c r="T14" s="40">
        <f t="shared" ref="T14:T40" si="9">+Q14+S14</f>
        <v>6339417.6746888077</v>
      </c>
      <c r="U14" s="42" t="s">
        <v>53</v>
      </c>
      <c r="W14" s="187">
        <v>1375</v>
      </c>
      <c r="X14" s="187">
        <f t="shared" si="5"/>
        <v>1416.25</v>
      </c>
    </row>
    <row r="15" spans="1:24" s="43" customFormat="1" ht="37.5" customHeight="1">
      <c r="A15" s="34"/>
      <c r="B15" s="448"/>
      <c r="C15" s="35">
        <v>1</v>
      </c>
      <c r="D15" s="165" t="s">
        <v>56</v>
      </c>
      <c r="E15" s="37" t="s">
        <v>51</v>
      </c>
      <c r="F15" s="37" t="s">
        <v>52</v>
      </c>
      <c r="G15" s="37">
        <f t="shared" si="6"/>
        <v>12</v>
      </c>
      <c r="H15" s="37" t="s">
        <v>29</v>
      </c>
      <c r="I15" s="157">
        <v>13</v>
      </c>
      <c r="J15" s="162">
        <v>22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0">IF(H15="N/a",(((K15*L15)/30))*J15*C15,(((K15*L15)/30)/I15)*G15*J15*C15)</f>
        <v>5758950.5530920001</v>
      </c>
      <c r="N15" s="41">
        <f t="shared" si="1"/>
        <v>0.08</v>
      </c>
      <c r="O15" s="180">
        <f>+'ESTUDIO DE MERCADO_SEGURO'!$M10</f>
        <v>1548</v>
      </c>
      <c r="P15" s="40">
        <f t="shared" si="2"/>
        <v>460716.04424736003</v>
      </c>
      <c r="Q15" s="40">
        <f t="shared" si="8"/>
        <v>6221214.59733936</v>
      </c>
      <c r="R15" s="40">
        <f t="shared" si="3"/>
        <v>622121.459733936</v>
      </c>
      <c r="S15" s="40">
        <f t="shared" si="4"/>
        <v>118203.07734944785</v>
      </c>
      <c r="T15" s="40">
        <f t="shared" si="9"/>
        <v>6339417.6746888077</v>
      </c>
      <c r="U15" s="42" t="s">
        <v>53</v>
      </c>
      <c r="W15" s="187">
        <v>1375</v>
      </c>
      <c r="X15" s="187">
        <f t="shared" si="5"/>
        <v>1416.25</v>
      </c>
    </row>
    <row r="16" spans="1:24" s="50" customFormat="1" ht="37.5" customHeight="1">
      <c r="A16" s="45"/>
      <c r="B16" s="448"/>
      <c r="C16" s="35">
        <v>1</v>
      </c>
      <c r="D16" s="165" t="s">
        <v>57</v>
      </c>
      <c r="E16" s="37" t="s">
        <v>51</v>
      </c>
      <c r="F16" s="37" t="s">
        <v>52</v>
      </c>
      <c r="G16" s="37">
        <f t="shared" si="6"/>
        <v>12</v>
      </c>
      <c r="H16" s="37" t="s">
        <v>29</v>
      </c>
      <c r="I16" s="157">
        <v>13</v>
      </c>
      <c r="J16" s="162">
        <v>22</v>
      </c>
      <c r="K16" s="160">
        <f t="shared" si="7"/>
        <v>17876740.050000001</v>
      </c>
      <c r="L16" s="169">
        <f t="shared" si="0"/>
        <v>0.47590000000000005</v>
      </c>
      <c r="M16" s="40">
        <f t="shared" si="10"/>
        <v>5758950.5530920001</v>
      </c>
      <c r="N16" s="53">
        <f t="shared" si="1"/>
        <v>0.08</v>
      </c>
      <c r="O16" s="180">
        <f>+'ESTUDIO DE MERCADO_SEGURO'!$M11</f>
        <v>2547</v>
      </c>
      <c r="P16" s="46">
        <f t="shared" si="2"/>
        <v>460716.04424736003</v>
      </c>
      <c r="Q16" s="48">
        <f t="shared" si="8"/>
        <v>6222213.59733936</v>
      </c>
      <c r="R16" s="46">
        <f t="shared" si="3"/>
        <v>622221.35973393603</v>
      </c>
      <c r="S16" s="46">
        <f t="shared" si="4"/>
        <v>118222.05834944785</v>
      </c>
      <c r="T16" s="46">
        <f t="shared" si="9"/>
        <v>6340435.6556888083</v>
      </c>
      <c r="U16" s="49" t="s">
        <v>53</v>
      </c>
      <c r="W16" s="188">
        <v>1875</v>
      </c>
      <c r="X16" s="187">
        <f t="shared" si="5"/>
        <v>1931.25</v>
      </c>
    </row>
    <row r="17" spans="1:24" s="50" customFormat="1" ht="37.5" customHeight="1">
      <c r="A17" s="45"/>
      <c r="B17" s="448"/>
      <c r="C17" s="35">
        <v>1</v>
      </c>
      <c r="D17" s="165" t="s">
        <v>58</v>
      </c>
      <c r="E17" s="38" t="s">
        <v>51</v>
      </c>
      <c r="F17" s="38" t="s">
        <v>59</v>
      </c>
      <c r="G17" s="38">
        <v>13</v>
      </c>
      <c r="H17" s="38" t="s">
        <v>29</v>
      </c>
      <c r="I17" s="157">
        <v>13</v>
      </c>
      <c r="J17" s="162">
        <v>30</v>
      </c>
      <c r="K17" s="160">
        <f t="shared" si="7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8657540.5897950009</v>
      </c>
      <c r="N17" s="53">
        <f t="shared" si="1"/>
        <v>0.08</v>
      </c>
      <c r="O17" s="180">
        <f>+'ESTUDIO DE MERCADO_SEGURO'!$M12</f>
        <v>1037</v>
      </c>
      <c r="P17" s="46">
        <f t="shared" si="2"/>
        <v>692603.24718360009</v>
      </c>
      <c r="Q17" s="48">
        <f t="shared" si="8"/>
        <v>9351180.8369786013</v>
      </c>
      <c r="R17" s="46">
        <f t="shared" si="3"/>
        <v>935118.08369786013</v>
      </c>
      <c r="S17" s="46">
        <f t="shared" si="4"/>
        <v>177672.43590259342</v>
      </c>
      <c r="T17" s="46">
        <f t="shared" si="9"/>
        <v>9528853.2728811949</v>
      </c>
      <c r="U17" s="49" t="s">
        <v>53</v>
      </c>
      <c r="W17" s="188">
        <v>625</v>
      </c>
      <c r="X17" s="187">
        <f t="shared" si="5"/>
        <v>643.75</v>
      </c>
    </row>
    <row r="18" spans="1:24" s="50" customFormat="1" ht="37.5" customHeight="1">
      <c r="A18" s="45"/>
      <c r="B18" s="448"/>
      <c r="C18" s="35">
        <v>1</v>
      </c>
      <c r="D18" s="165" t="s">
        <v>60</v>
      </c>
      <c r="E18" s="38" t="s">
        <v>51</v>
      </c>
      <c r="F18" s="38" t="s">
        <v>61</v>
      </c>
      <c r="G18" s="38">
        <v>11</v>
      </c>
      <c r="H18" s="38" t="s">
        <v>31</v>
      </c>
      <c r="I18" s="157">
        <v>11</v>
      </c>
      <c r="J18" s="162">
        <v>30</v>
      </c>
      <c r="K18" s="160">
        <f t="shared" si="7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9519199.4602049999</v>
      </c>
      <c r="N18" s="53">
        <f t="shared" si="1"/>
        <v>0.08</v>
      </c>
      <c r="O18" s="180">
        <f>+'ESTUDIO DE MERCADO_SEGURO'!$M13</f>
        <v>2865</v>
      </c>
      <c r="P18" s="46">
        <f t="shared" si="2"/>
        <v>761535.95681640005</v>
      </c>
      <c r="Q18" s="48">
        <f t="shared" si="8"/>
        <v>10283600.417021399</v>
      </c>
      <c r="R18" s="46">
        <f t="shared" si="3"/>
        <v>1028360.04170214</v>
      </c>
      <c r="S18" s="46">
        <f t="shared" si="4"/>
        <v>195388.4079234066</v>
      </c>
      <c r="T18" s="46">
        <f t="shared" si="9"/>
        <v>10478988.824944805</v>
      </c>
      <c r="U18" s="42" t="s">
        <v>3</v>
      </c>
      <c r="W18" s="188">
        <v>1875</v>
      </c>
      <c r="X18" s="187">
        <f t="shared" si="5"/>
        <v>1931.25</v>
      </c>
    </row>
    <row r="19" spans="1:24" s="50" customFormat="1" ht="37.5" customHeight="1">
      <c r="A19" s="45"/>
      <c r="B19" s="448"/>
      <c r="C19" s="35">
        <v>1</v>
      </c>
      <c r="D19" s="165" t="s">
        <v>62</v>
      </c>
      <c r="E19" s="38" t="s">
        <v>51</v>
      </c>
      <c r="F19" s="38" t="s">
        <v>52</v>
      </c>
      <c r="G19" s="38">
        <v>12</v>
      </c>
      <c r="H19" s="38" t="s">
        <v>29</v>
      </c>
      <c r="I19" s="157">
        <v>13</v>
      </c>
      <c r="J19" s="162">
        <v>26</v>
      </c>
      <c r="K19" s="160">
        <f t="shared" si="7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7301032.4718359997</v>
      </c>
      <c r="N19" s="53">
        <f t="shared" si="1"/>
        <v>0.08</v>
      </c>
      <c r="O19" s="180">
        <f>+'ESTUDIO DE MERCADO_SEGURO'!$M14</f>
        <v>2328</v>
      </c>
      <c r="P19" s="52">
        <f>+M19*N19</f>
        <v>584082.59774688003</v>
      </c>
      <c r="Q19" s="52">
        <f t="shared" si="8"/>
        <v>7887443.0695828795</v>
      </c>
      <c r="R19" s="52">
        <f>+Q19*10%</f>
        <v>788744.30695828795</v>
      </c>
      <c r="S19" s="52">
        <f t="shared" si="4"/>
        <v>149861.41832207472</v>
      </c>
      <c r="T19" s="52">
        <f t="shared" si="9"/>
        <v>8037304.4879049547</v>
      </c>
      <c r="U19" s="54" t="s">
        <v>53</v>
      </c>
      <c r="W19" s="188">
        <v>1250.0000000000007</v>
      </c>
      <c r="X19" s="187">
        <f t="shared" si="5"/>
        <v>1287.5000000000007</v>
      </c>
    </row>
    <row r="20" spans="1:24" s="43" customFormat="1" ht="37.5" customHeight="1">
      <c r="A20" s="34"/>
      <c r="B20" s="61" t="s">
        <v>63</v>
      </c>
      <c r="C20" s="35">
        <v>1</v>
      </c>
      <c r="D20" s="36" t="s">
        <v>64</v>
      </c>
      <c r="E20" s="37" t="s">
        <v>65</v>
      </c>
      <c r="F20" s="37" t="s">
        <v>66</v>
      </c>
      <c r="G20" s="37">
        <f t="shared" ref="G20:G40" si="11">IF(F20="24 HORAS",24,IF(F20="12 HORAS",12,0))</f>
        <v>24</v>
      </c>
      <c r="H20" s="37" t="s">
        <v>67</v>
      </c>
      <c r="I20" s="157">
        <f>IF(H20="N/A",1,IF(H20="NOCTURNO",9,IF(H20="DIURNO",15,0)))</f>
        <v>1</v>
      </c>
      <c r="J20" s="161">
        <v>30</v>
      </c>
      <c r="K20" s="160">
        <f t="shared" ref="K20:K40" si="12">+$E$6*$E$7</f>
        <v>17876740.050000001</v>
      </c>
      <c r="L20" s="39">
        <f t="shared" ref="L20:L40" si="13">+IF(F20="12 HORAS",IF(H20="DIURNO",55.97%,0),0)+IF(F20="12 HORAS",IF(H20="NOCTURNO",44.03%,0),1)</f>
        <v>1</v>
      </c>
      <c r="M20" s="44">
        <f t="shared" ref="M20:M40" si="14">IF(H20="N/a",(((K20*L20)/30))*J20*C20,(((K20*L20)/30)/I20)*G20*J20*C20)</f>
        <v>17876740.050000001</v>
      </c>
      <c r="N20" s="41">
        <f t="shared" ref="N20:N40" si="15">+IF(E20="SIN ARMA",8%,IF(E20="CON ARMA",10%,0))</f>
        <v>0.1</v>
      </c>
      <c r="O20" s="180">
        <f>+'ESTUDIO DE MERCADO_SEGURO'!$M15</f>
        <v>5100</v>
      </c>
      <c r="P20" s="40">
        <f t="shared" si="2"/>
        <v>1787674.0050000001</v>
      </c>
      <c r="Q20" s="40">
        <f t="shared" si="8"/>
        <v>19669514.055</v>
      </c>
      <c r="R20" s="40">
        <f t="shared" si="3"/>
        <v>1966951.4055000001</v>
      </c>
      <c r="S20" s="40">
        <f t="shared" si="4"/>
        <v>373720.76704500004</v>
      </c>
      <c r="T20" s="40">
        <f t="shared" si="9"/>
        <v>20043234.822044998</v>
      </c>
      <c r="U20" s="42" t="s">
        <v>53</v>
      </c>
      <c r="W20" s="187">
        <v>3750</v>
      </c>
      <c r="X20" s="187">
        <f t="shared" si="5"/>
        <v>3862.5</v>
      </c>
    </row>
    <row r="21" spans="1:24" s="57" customFormat="1" ht="37.5" customHeight="1">
      <c r="A21" s="1"/>
      <c r="B21" s="61" t="s">
        <v>68</v>
      </c>
      <c r="C21" s="35">
        <v>1</v>
      </c>
      <c r="D21" s="55" t="s">
        <v>69</v>
      </c>
      <c r="E21" s="38" t="s">
        <v>65</v>
      </c>
      <c r="F21" s="38" t="s">
        <v>66</v>
      </c>
      <c r="G21" s="38">
        <f t="shared" si="11"/>
        <v>24</v>
      </c>
      <c r="H21" s="37" t="s">
        <v>67</v>
      </c>
      <c r="I21" s="157">
        <f t="shared" ref="I21:I40" si="16">IF(H21="N/A",1,IF(H21="NOCTURNO",9,IF(H21="DIURNO",15,0)))</f>
        <v>1</v>
      </c>
      <c r="J21" s="161">
        <v>30</v>
      </c>
      <c r="K21" s="160">
        <f t="shared" si="12"/>
        <v>17876740.050000001</v>
      </c>
      <c r="L21" s="51">
        <f t="shared" si="13"/>
        <v>1</v>
      </c>
      <c r="M21" s="56">
        <f t="shared" si="14"/>
        <v>17876740.050000001</v>
      </c>
      <c r="N21" s="53">
        <f t="shared" si="15"/>
        <v>0.1</v>
      </c>
      <c r="O21" s="180">
        <f>+'ESTUDIO DE MERCADO_SEGURO'!$M16</f>
        <v>5100</v>
      </c>
      <c r="P21" s="52">
        <f t="shared" si="2"/>
        <v>1787674.0050000001</v>
      </c>
      <c r="Q21" s="40">
        <f t="shared" si="8"/>
        <v>19669514.055</v>
      </c>
      <c r="R21" s="52">
        <f t="shared" si="3"/>
        <v>1966951.4055000001</v>
      </c>
      <c r="S21" s="52">
        <f t="shared" si="4"/>
        <v>373720.76704500004</v>
      </c>
      <c r="T21" s="52">
        <f t="shared" si="9"/>
        <v>20043234.822044998</v>
      </c>
      <c r="U21" s="42" t="s">
        <v>53</v>
      </c>
      <c r="W21" s="189">
        <v>3750</v>
      </c>
      <c r="X21" s="187">
        <f t="shared" si="5"/>
        <v>3862.5</v>
      </c>
    </row>
    <row r="22" spans="1:24" s="57" customFormat="1" ht="37.5" customHeight="1">
      <c r="A22" s="1"/>
      <c r="B22" s="60" t="s">
        <v>70</v>
      </c>
      <c r="C22" s="35">
        <v>1</v>
      </c>
      <c r="D22" s="3" t="s">
        <v>71</v>
      </c>
      <c r="E22" s="58" t="s">
        <v>51</v>
      </c>
      <c r="F22" s="58" t="s">
        <v>52</v>
      </c>
      <c r="G22" s="58">
        <f>IF(F22="24 HORAS",24,IF(F22="12 HORAS",12,0))</f>
        <v>12</v>
      </c>
      <c r="H22" s="58" t="s">
        <v>29</v>
      </c>
      <c r="I22" s="158">
        <v>13</v>
      </c>
      <c r="J22" s="161">
        <v>22</v>
      </c>
      <c r="K22" s="160">
        <f t="shared" si="12"/>
        <v>17876740.050000001</v>
      </c>
      <c r="L22" s="169">
        <f>IF(H22="DIURNO",47.59%,IF(H22="NOCTURNO",52.41%,0))</f>
        <v>0.47590000000000005</v>
      </c>
      <c r="M22" s="44">
        <f>IF(H22="N/a",(((K22*L22)/30))*J22*C22,(((K22*L22)/30)/I22)*G22*J22*C22)</f>
        <v>5758950.5530920001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460716.04424736003</v>
      </c>
      <c r="Q22" s="40">
        <f>+M22+O22+P22</f>
        <v>6221214.59733936</v>
      </c>
      <c r="R22" s="44">
        <f>+Q22*10%</f>
        <v>622121.459733936</v>
      </c>
      <c r="S22" s="44">
        <f>+R22*19%</f>
        <v>118203.07734944785</v>
      </c>
      <c r="T22" s="185">
        <f>+Q22+S22</f>
        <v>6339417.6746888077</v>
      </c>
      <c r="U22" s="42" t="s">
        <v>3</v>
      </c>
      <c r="V22" s="416"/>
      <c r="W22" s="189">
        <v>1081.3</v>
      </c>
      <c r="X22" s="187">
        <f t="shared" si="5"/>
        <v>1113.739</v>
      </c>
    </row>
    <row r="23" spans="1:24" s="57" customFormat="1" ht="37.5" customHeight="1">
      <c r="A23" s="1"/>
      <c r="B23" s="60" t="s">
        <v>72</v>
      </c>
      <c r="C23" s="35">
        <v>1</v>
      </c>
      <c r="D23" s="36" t="s">
        <v>73</v>
      </c>
      <c r="E23" s="37" t="s">
        <v>65</v>
      </c>
      <c r="F23" s="37" t="s">
        <v>66</v>
      </c>
      <c r="G23" s="37">
        <f t="shared" si="11"/>
        <v>24</v>
      </c>
      <c r="H23" s="37" t="s">
        <v>67</v>
      </c>
      <c r="I23" s="157">
        <f t="shared" si="16"/>
        <v>1</v>
      </c>
      <c r="J23" s="161">
        <v>30</v>
      </c>
      <c r="K23" s="160">
        <f t="shared" si="12"/>
        <v>17876740.050000001</v>
      </c>
      <c r="L23" s="39">
        <f t="shared" si="13"/>
        <v>1</v>
      </c>
      <c r="M23" s="40">
        <f t="shared" si="14"/>
        <v>17876740.050000001</v>
      </c>
      <c r="N23" s="41">
        <f t="shared" si="15"/>
        <v>0.1</v>
      </c>
      <c r="O23" s="180">
        <f>+'ESTUDIO DE MERCADO_SEGURO'!$M18</f>
        <v>5100</v>
      </c>
      <c r="P23" s="40">
        <f t="shared" si="2"/>
        <v>1787674.0050000001</v>
      </c>
      <c r="Q23" s="40">
        <f t="shared" si="8"/>
        <v>19669514.055</v>
      </c>
      <c r="R23" s="40">
        <f t="shared" si="3"/>
        <v>1966951.4055000001</v>
      </c>
      <c r="S23" s="40">
        <f t="shared" si="4"/>
        <v>373720.76704500004</v>
      </c>
      <c r="T23" s="40">
        <f t="shared" si="9"/>
        <v>20043234.822044998</v>
      </c>
      <c r="U23" s="42" t="s">
        <v>3</v>
      </c>
      <c r="W23" s="189">
        <v>3750</v>
      </c>
      <c r="X23" s="187">
        <f t="shared" si="5"/>
        <v>3862.5</v>
      </c>
    </row>
    <row r="24" spans="1:24" s="43" customFormat="1" ht="37.5" customHeight="1">
      <c r="A24" s="34"/>
      <c r="B24" s="61" t="s">
        <v>74</v>
      </c>
      <c r="C24" s="35">
        <v>1</v>
      </c>
      <c r="D24" s="55" t="s">
        <v>75</v>
      </c>
      <c r="E24" s="38" t="s">
        <v>65</v>
      </c>
      <c r="F24" s="38" t="s">
        <v>66</v>
      </c>
      <c r="G24" s="38">
        <f t="shared" si="11"/>
        <v>24</v>
      </c>
      <c r="H24" s="38" t="s">
        <v>67</v>
      </c>
      <c r="I24" s="157">
        <f t="shared" si="16"/>
        <v>1</v>
      </c>
      <c r="J24" s="161">
        <v>30</v>
      </c>
      <c r="K24" s="160">
        <f t="shared" si="12"/>
        <v>17876740.050000001</v>
      </c>
      <c r="L24" s="51">
        <f t="shared" si="13"/>
        <v>1</v>
      </c>
      <c r="M24" s="52">
        <f t="shared" si="14"/>
        <v>17876740.050000001</v>
      </c>
      <c r="N24" s="53">
        <f t="shared" si="15"/>
        <v>0.1</v>
      </c>
      <c r="O24" s="180">
        <f>+'ESTUDIO DE MERCADO_SEGURO'!$M19</f>
        <v>5100</v>
      </c>
      <c r="P24" s="52">
        <f t="shared" si="2"/>
        <v>1787674.0050000001</v>
      </c>
      <c r="Q24" s="40">
        <f t="shared" si="8"/>
        <v>19669514.055</v>
      </c>
      <c r="R24" s="52">
        <f t="shared" si="3"/>
        <v>1966951.4055000001</v>
      </c>
      <c r="S24" s="52">
        <f t="shared" si="4"/>
        <v>373720.76704500004</v>
      </c>
      <c r="T24" s="52">
        <f t="shared" si="9"/>
        <v>20043234.822044998</v>
      </c>
      <c r="U24" s="42" t="s">
        <v>53</v>
      </c>
      <c r="W24" s="187">
        <v>3750</v>
      </c>
      <c r="X24" s="187">
        <f t="shared" si="5"/>
        <v>3862.5</v>
      </c>
    </row>
    <row r="25" spans="1:24" s="43" customFormat="1" ht="37.5" customHeight="1">
      <c r="A25" s="34"/>
      <c r="B25" s="60" t="s">
        <v>76</v>
      </c>
      <c r="C25" s="35">
        <v>1</v>
      </c>
      <c r="D25" s="36" t="s">
        <v>77</v>
      </c>
      <c r="E25" s="37" t="s">
        <v>65</v>
      </c>
      <c r="F25" s="37" t="s">
        <v>66</v>
      </c>
      <c r="G25" s="37">
        <f t="shared" si="11"/>
        <v>24</v>
      </c>
      <c r="H25" s="37" t="s">
        <v>67</v>
      </c>
      <c r="I25" s="157">
        <f t="shared" si="16"/>
        <v>1</v>
      </c>
      <c r="J25" s="161">
        <v>30</v>
      </c>
      <c r="K25" s="160">
        <f t="shared" si="12"/>
        <v>17876740.050000001</v>
      </c>
      <c r="L25" s="39">
        <f t="shared" si="13"/>
        <v>1</v>
      </c>
      <c r="M25" s="40">
        <f t="shared" si="14"/>
        <v>17876740.050000001</v>
      </c>
      <c r="N25" s="41">
        <f t="shared" si="15"/>
        <v>0.1</v>
      </c>
      <c r="O25" s="180">
        <f>+'ESTUDIO DE MERCADO_SEGURO'!$M20</f>
        <v>5100</v>
      </c>
      <c r="P25" s="40">
        <f t="shared" si="2"/>
        <v>1787674.0050000001</v>
      </c>
      <c r="Q25" s="40">
        <f t="shared" si="8"/>
        <v>19669514.055</v>
      </c>
      <c r="R25" s="40">
        <f t="shared" si="3"/>
        <v>1966951.4055000001</v>
      </c>
      <c r="S25" s="40">
        <f t="shared" si="4"/>
        <v>373720.76704500004</v>
      </c>
      <c r="T25" s="40">
        <f t="shared" si="9"/>
        <v>20043234.822044998</v>
      </c>
      <c r="U25" s="42" t="s">
        <v>3</v>
      </c>
      <c r="W25" s="187">
        <v>3750</v>
      </c>
      <c r="X25" s="187">
        <f t="shared" si="5"/>
        <v>3862.5</v>
      </c>
    </row>
    <row r="26" spans="1:24" s="57" customFormat="1" ht="37.5" customHeight="1">
      <c r="A26" s="1"/>
      <c r="B26" s="60" t="s">
        <v>78</v>
      </c>
      <c r="C26" s="35">
        <v>1</v>
      </c>
      <c r="D26" s="55" t="s">
        <v>77</v>
      </c>
      <c r="E26" s="38" t="s">
        <v>65</v>
      </c>
      <c r="F26" s="38" t="s">
        <v>66</v>
      </c>
      <c r="G26" s="38">
        <f t="shared" si="11"/>
        <v>24</v>
      </c>
      <c r="H26" s="38" t="s">
        <v>67</v>
      </c>
      <c r="I26" s="157">
        <f t="shared" si="16"/>
        <v>1</v>
      </c>
      <c r="J26" s="161">
        <v>30</v>
      </c>
      <c r="K26" s="160">
        <f t="shared" si="12"/>
        <v>17876740.050000001</v>
      </c>
      <c r="L26" s="51">
        <f t="shared" si="13"/>
        <v>1</v>
      </c>
      <c r="M26" s="52">
        <f t="shared" si="14"/>
        <v>17876740.050000001</v>
      </c>
      <c r="N26" s="53">
        <f t="shared" si="15"/>
        <v>0.1</v>
      </c>
      <c r="O26" s="180">
        <f>+'ESTUDIO DE MERCADO_SEGURO'!$M21</f>
        <v>5100</v>
      </c>
      <c r="P26" s="52">
        <f t="shared" si="2"/>
        <v>1787674.0050000001</v>
      </c>
      <c r="Q26" s="40">
        <f t="shared" si="8"/>
        <v>19669514.055</v>
      </c>
      <c r="R26" s="52">
        <f t="shared" si="3"/>
        <v>1966951.4055000001</v>
      </c>
      <c r="S26" s="52">
        <f t="shared" si="4"/>
        <v>373720.76704500004</v>
      </c>
      <c r="T26" s="52">
        <f t="shared" si="9"/>
        <v>20043234.822044998</v>
      </c>
      <c r="U26" s="42" t="s">
        <v>3</v>
      </c>
      <c r="W26" s="189">
        <v>3750</v>
      </c>
      <c r="X26" s="187">
        <f t="shared" si="5"/>
        <v>3862.5</v>
      </c>
    </row>
    <row r="27" spans="1:24" s="57" customFormat="1" ht="37.5" customHeight="1">
      <c r="A27" s="1"/>
      <c r="B27" s="60" t="s">
        <v>79</v>
      </c>
      <c r="C27" s="35">
        <v>1</v>
      </c>
      <c r="D27" s="36" t="s">
        <v>80</v>
      </c>
      <c r="E27" s="37" t="s">
        <v>65</v>
      </c>
      <c r="F27" s="37" t="s">
        <v>66</v>
      </c>
      <c r="G27" s="37">
        <f t="shared" si="11"/>
        <v>24</v>
      </c>
      <c r="H27" s="37" t="s">
        <v>67</v>
      </c>
      <c r="I27" s="159">
        <f t="shared" si="16"/>
        <v>1</v>
      </c>
      <c r="J27" s="161">
        <v>30</v>
      </c>
      <c r="K27" s="160">
        <f t="shared" si="12"/>
        <v>17876740.050000001</v>
      </c>
      <c r="L27" s="39">
        <f t="shared" si="13"/>
        <v>1</v>
      </c>
      <c r="M27" s="40">
        <f t="shared" si="14"/>
        <v>17876740.050000001</v>
      </c>
      <c r="N27" s="41">
        <f t="shared" si="15"/>
        <v>0.1</v>
      </c>
      <c r="O27" s="180">
        <f>+'ESTUDIO DE MERCADO_SEGURO'!$M22</f>
        <v>5100</v>
      </c>
      <c r="P27" s="40">
        <f t="shared" si="2"/>
        <v>1787674.0050000001</v>
      </c>
      <c r="Q27" s="40">
        <f t="shared" si="8"/>
        <v>19669514.055</v>
      </c>
      <c r="R27" s="40">
        <f t="shared" si="3"/>
        <v>1966951.4055000001</v>
      </c>
      <c r="S27" s="40">
        <f t="shared" si="4"/>
        <v>373720.76704500004</v>
      </c>
      <c r="T27" s="40">
        <f t="shared" si="9"/>
        <v>20043234.822044998</v>
      </c>
      <c r="U27" s="42" t="s">
        <v>3</v>
      </c>
      <c r="W27" s="189">
        <v>3750</v>
      </c>
      <c r="X27" s="187">
        <f t="shared" si="5"/>
        <v>3862.5</v>
      </c>
    </row>
    <row r="28" spans="1:24" s="57" customFormat="1" ht="37.5" customHeight="1">
      <c r="A28" s="1"/>
      <c r="B28" s="60" t="s">
        <v>81</v>
      </c>
      <c r="C28" s="35">
        <v>1</v>
      </c>
      <c r="D28" s="55" t="s">
        <v>77</v>
      </c>
      <c r="E28" s="38" t="s">
        <v>65</v>
      </c>
      <c r="F28" s="38" t="s">
        <v>66</v>
      </c>
      <c r="G28" s="38">
        <f t="shared" si="11"/>
        <v>24</v>
      </c>
      <c r="H28" s="38" t="s">
        <v>67</v>
      </c>
      <c r="I28" s="157">
        <f t="shared" si="16"/>
        <v>1</v>
      </c>
      <c r="J28" s="161">
        <v>30</v>
      </c>
      <c r="K28" s="160">
        <f t="shared" si="12"/>
        <v>17876740.050000001</v>
      </c>
      <c r="L28" s="51">
        <f t="shared" si="13"/>
        <v>1</v>
      </c>
      <c r="M28" s="52">
        <f t="shared" si="14"/>
        <v>17876740.050000001</v>
      </c>
      <c r="N28" s="53">
        <f t="shared" si="15"/>
        <v>0.1</v>
      </c>
      <c r="O28" s="180">
        <f>+'ESTUDIO DE MERCADO_SEGURO'!$M23</f>
        <v>5100</v>
      </c>
      <c r="P28" s="52">
        <f t="shared" si="2"/>
        <v>1787674.0050000001</v>
      </c>
      <c r="Q28" s="40">
        <f t="shared" si="8"/>
        <v>19669514.055</v>
      </c>
      <c r="R28" s="52">
        <f t="shared" si="3"/>
        <v>1966951.4055000001</v>
      </c>
      <c r="S28" s="52">
        <f t="shared" si="4"/>
        <v>373720.76704500004</v>
      </c>
      <c r="T28" s="52">
        <f t="shared" si="9"/>
        <v>20043234.822044998</v>
      </c>
      <c r="U28" s="42" t="s">
        <v>3</v>
      </c>
      <c r="W28" s="189">
        <v>3750</v>
      </c>
      <c r="X28" s="187">
        <f t="shared" si="5"/>
        <v>3862.5</v>
      </c>
    </row>
    <row r="29" spans="1:24" s="57" customFormat="1" ht="37.5" customHeight="1">
      <c r="A29" s="1"/>
      <c r="B29" s="449" t="s">
        <v>82</v>
      </c>
      <c r="C29" s="35">
        <v>1</v>
      </c>
      <c r="D29" s="36" t="s">
        <v>77</v>
      </c>
      <c r="E29" s="37" t="s">
        <v>65</v>
      </c>
      <c r="F29" s="37" t="s">
        <v>66</v>
      </c>
      <c r="G29" s="37">
        <f t="shared" si="11"/>
        <v>24</v>
      </c>
      <c r="H29" s="37" t="s">
        <v>67</v>
      </c>
      <c r="I29" s="159">
        <f t="shared" si="16"/>
        <v>1</v>
      </c>
      <c r="J29" s="161">
        <v>30</v>
      </c>
      <c r="K29" s="160">
        <f t="shared" si="12"/>
        <v>17876740.050000001</v>
      </c>
      <c r="L29" s="39">
        <f t="shared" si="13"/>
        <v>1</v>
      </c>
      <c r="M29" s="40">
        <f t="shared" si="14"/>
        <v>17876740.050000001</v>
      </c>
      <c r="N29" s="41">
        <f t="shared" si="15"/>
        <v>0.1</v>
      </c>
      <c r="O29" s="180">
        <f>+'ESTUDIO DE MERCADO_SEGURO'!$M24</f>
        <v>5100</v>
      </c>
      <c r="P29" s="40">
        <f t="shared" si="2"/>
        <v>1787674.0050000001</v>
      </c>
      <c r="Q29" s="40">
        <f t="shared" si="8"/>
        <v>19669514.055</v>
      </c>
      <c r="R29" s="40">
        <f t="shared" si="3"/>
        <v>1966951.4055000001</v>
      </c>
      <c r="S29" s="40">
        <f t="shared" si="4"/>
        <v>373720.76704500004</v>
      </c>
      <c r="T29" s="40">
        <f t="shared" si="9"/>
        <v>20043234.822044998</v>
      </c>
      <c r="U29" s="42" t="s">
        <v>53</v>
      </c>
      <c r="W29" s="189">
        <v>3750</v>
      </c>
      <c r="X29" s="187">
        <f t="shared" si="5"/>
        <v>3862.5</v>
      </c>
    </row>
    <row r="30" spans="1:24" s="57" customFormat="1" ht="37.5" customHeight="1">
      <c r="A30" s="1"/>
      <c r="B30" s="449"/>
      <c r="C30" s="35">
        <v>1</v>
      </c>
      <c r="D30" s="36" t="s">
        <v>77</v>
      </c>
      <c r="E30" s="37" t="s">
        <v>65</v>
      </c>
      <c r="F30" s="37" t="s">
        <v>66</v>
      </c>
      <c r="G30" s="37">
        <f t="shared" si="11"/>
        <v>24</v>
      </c>
      <c r="H30" s="37" t="s">
        <v>67</v>
      </c>
      <c r="I30" s="159">
        <f t="shared" si="16"/>
        <v>1</v>
      </c>
      <c r="J30" s="161">
        <v>30</v>
      </c>
      <c r="K30" s="160">
        <f t="shared" si="12"/>
        <v>17876740.050000001</v>
      </c>
      <c r="L30" s="39">
        <f t="shared" si="13"/>
        <v>1</v>
      </c>
      <c r="M30" s="40">
        <f t="shared" si="14"/>
        <v>17876740.050000001</v>
      </c>
      <c r="N30" s="41">
        <f t="shared" si="15"/>
        <v>0.1</v>
      </c>
      <c r="O30" s="180">
        <f>+'ESTUDIO DE MERCADO_SEGURO'!$M25</f>
        <v>5100</v>
      </c>
      <c r="P30" s="40">
        <f t="shared" si="2"/>
        <v>1787674.0050000001</v>
      </c>
      <c r="Q30" s="40">
        <f t="shared" si="8"/>
        <v>19669514.055</v>
      </c>
      <c r="R30" s="40">
        <f t="shared" si="3"/>
        <v>1966951.4055000001</v>
      </c>
      <c r="S30" s="40">
        <f t="shared" si="4"/>
        <v>373720.76704500004</v>
      </c>
      <c r="T30" s="40">
        <f t="shared" si="9"/>
        <v>20043234.822044998</v>
      </c>
      <c r="U30" s="42" t="s">
        <v>3</v>
      </c>
      <c r="W30" s="189">
        <v>3750</v>
      </c>
      <c r="X30" s="187">
        <f t="shared" si="5"/>
        <v>3862.5</v>
      </c>
    </row>
    <row r="31" spans="1:24" s="57" customFormat="1" ht="37.5" customHeight="1">
      <c r="A31" s="1"/>
      <c r="B31" s="63" t="s">
        <v>83</v>
      </c>
      <c r="C31" s="35">
        <v>2</v>
      </c>
      <c r="D31" s="36" t="s">
        <v>84</v>
      </c>
      <c r="E31" s="37" t="s">
        <v>65</v>
      </c>
      <c r="F31" s="37" t="s">
        <v>66</v>
      </c>
      <c r="G31" s="37">
        <f t="shared" si="11"/>
        <v>24</v>
      </c>
      <c r="H31" s="37" t="s">
        <v>67</v>
      </c>
      <c r="I31" s="159">
        <f t="shared" si="16"/>
        <v>1</v>
      </c>
      <c r="J31" s="161">
        <v>30</v>
      </c>
      <c r="K31" s="160">
        <f t="shared" si="12"/>
        <v>17876740.050000001</v>
      </c>
      <c r="L31" s="39">
        <f t="shared" si="13"/>
        <v>1</v>
      </c>
      <c r="M31" s="40">
        <f t="shared" si="14"/>
        <v>35753480.100000001</v>
      </c>
      <c r="N31" s="41">
        <f t="shared" si="15"/>
        <v>0.1</v>
      </c>
      <c r="O31" s="180">
        <f>+'ESTUDIO DE MERCADO_SEGURO'!$M26</f>
        <v>5100</v>
      </c>
      <c r="P31" s="40">
        <f t="shared" si="2"/>
        <v>3575348.0100000002</v>
      </c>
      <c r="Q31" s="40">
        <f t="shared" si="8"/>
        <v>39333928.109999999</v>
      </c>
      <c r="R31" s="40">
        <f t="shared" si="3"/>
        <v>3933392.8110000002</v>
      </c>
      <c r="S31" s="40">
        <f t="shared" si="4"/>
        <v>747344.63409000007</v>
      </c>
      <c r="T31" s="40">
        <f t="shared" si="9"/>
        <v>40081272.744089998</v>
      </c>
      <c r="U31" s="42" t="s">
        <v>53</v>
      </c>
      <c r="W31" s="189">
        <v>3750</v>
      </c>
      <c r="X31" s="187">
        <f t="shared" si="5"/>
        <v>3862.5</v>
      </c>
    </row>
    <row r="32" spans="1:24" s="57" customFormat="1" ht="37.5" customHeight="1">
      <c r="A32" s="1"/>
      <c r="B32" s="60" t="s">
        <v>85</v>
      </c>
      <c r="C32" s="35">
        <v>1</v>
      </c>
      <c r="D32" s="55" t="s">
        <v>73</v>
      </c>
      <c r="E32" s="38" t="s">
        <v>65</v>
      </c>
      <c r="F32" s="38" t="s">
        <v>66</v>
      </c>
      <c r="G32" s="38">
        <f t="shared" si="11"/>
        <v>24</v>
      </c>
      <c r="H32" s="38" t="s">
        <v>67</v>
      </c>
      <c r="I32" s="157">
        <f t="shared" si="16"/>
        <v>1</v>
      </c>
      <c r="J32" s="161">
        <v>30</v>
      </c>
      <c r="K32" s="160">
        <f t="shared" si="12"/>
        <v>17876740.050000001</v>
      </c>
      <c r="L32" s="51">
        <f t="shared" si="13"/>
        <v>1</v>
      </c>
      <c r="M32" s="52">
        <f t="shared" si="14"/>
        <v>17876740.050000001</v>
      </c>
      <c r="N32" s="53">
        <f t="shared" si="15"/>
        <v>0.1</v>
      </c>
      <c r="O32" s="180">
        <f>+'ESTUDIO DE MERCADO_SEGURO'!$M27</f>
        <v>5100</v>
      </c>
      <c r="P32" s="52">
        <f t="shared" si="2"/>
        <v>1787674.0050000001</v>
      </c>
      <c r="Q32" s="40">
        <f t="shared" si="8"/>
        <v>19669514.055</v>
      </c>
      <c r="R32" s="52">
        <f t="shared" si="3"/>
        <v>1966951.4055000001</v>
      </c>
      <c r="S32" s="52">
        <f t="shared" si="4"/>
        <v>373720.76704500004</v>
      </c>
      <c r="T32" s="52">
        <f t="shared" si="9"/>
        <v>20043234.822044998</v>
      </c>
      <c r="U32" s="42" t="s">
        <v>3</v>
      </c>
      <c r="W32" s="189">
        <v>3750</v>
      </c>
      <c r="X32" s="187">
        <f t="shared" si="5"/>
        <v>3862.5</v>
      </c>
    </row>
    <row r="33" spans="1:24" s="57" customFormat="1" ht="37.5" customHeight="1">
      <c r="A33" s="1"/>
      <c r="B33" s="64" t="s">
        <v>86</v>
      </c>
      <c r="C33" s="35">
        <v>2</v>
      </c>
      <c r="D33" s="36" t="s">
        <v>87</v>
      </c>
      <c r="E33" s="37" t="s">
        <v>65</v>
      </c>
      <c r="F33" s="37" t="s">
        <v>66</v>
      </c>
      <c r="G33" s="37">
        <f t="shared" si="11"/>
        <v>24</v>
      </c>
      <c r="H33" s="37" t="s">
        <v>67</v>
      </c>
      <c r="I33" s="159">
        <f t="shared" si="16"/>
        <v>1</v>
      </c>
      <c r="J33" s="161">
        <v>30</v>
      </c>
      <c r="K33" s="160">
        <f t="shared" si="12"/>
        <v>17876740.050000001</v>
      </c>
      <c r="L33" s="39">
        <f t="shared" si="13"/>
        <v>1</v>
      </c>
      <c r="M33" s="40">
        <f t="shared" si="14"/>
        <v>35753480.100000001</v>
      </c>
      <c r="N33" s="41">
        <f t="shared" si="15"/>
        <v>0.1</v>
      </c>
      <c r="O33" s="180">
        <f>+'ESTUDIO DE MERCADO_SEGURO'!$M28</f>
        <v>5100</v>
      </c>
      <c r="P33" s="40">
        <f t="shared" si="2"/>
        <v>3575348.0100000002</v>
      </c>
      <c r="Q33" s="40">
        <f t="shared" si="8"/>
        <v>39333928.109999999</v>
      </c>
      <c r="R33" s="40">
        <f t="shared" si="3"/>
        <v>3933392.8110000002</v>
      </c>
      <c r="S33" s="40">
        <f t="shared" si="4"/>
        <v>747344.63409000007</v>
      </c>
      <c r="T33" s="40">
        <f t="shared" si="9"/>
        <v>40081272.744089998</v>
      </c>
      <c r="U33" s="42" t="s">
        <v>53</v>
      </c>
      <c r="W33" s="189">
        <v>3750</v>
      </c>
      <c r="X33" s="187">
        <f t="shared" si="5"/>
        <v>3862.5</v>
      </c>
    </row>
    <row r="34" spans="1:24" s="43" customFormat="1" ht="37.5" customHeight="1">
      <c r="A34" s="34"/>
      <c r="B34" s="62" t="s">
        <v>88</v>
      </c>
      <c r="C34" s="35">
        <v>1</v>
      </c>
      <c r="D34" s="55" t="s">
        <v>77</v>
      </c>
      <c r="E34" s="38" t="s">
        <v>65</v>
      </c>
      <c r="F34" s="38" t="s">
        <v>66</v>
      </c>
      <c r="G34" s="38">
        <f t="shared" si="11"/>
        <v>24</v>
      </c>
      <c r="H34" s="38" t="s">
        <v>67</v>
      </c>
      <c r="I34" s="157">
        <f t="shared" si="16"/>
        <v>1</v>
      </c>
      <c r="J34" s="161">
        <v>30</v>
      </c>
      <c r="K34" s="160">
        <f t="shared" si="12"/>
        <v>17876740.050000001</v>
      </c>
      <c r="L34" s="51">
        <f t="shared" si="13"/>
        <v>1</v>
      </c>
      <c r="M34" s="52">
        <f t="shared" si="14"/>
        <v>17876740.050000001</v>
      </c>
      <c r="N34" s="53">
        <f t="shared" si="15"/>
        <v>0.1</v>
      </c>
      <c r="O34" s="180">
        <f>+'ESTUDIO DE MERCADO_SEGURO'!$M29</f>
        <v>5100</v>
      </c>
      <c r="P34" s="52">
        <f t="shared" si="2"/>
        <v>1787674.0050000001</v>
      </c>
      <c r="Q34" s="40">
        <f t="shared" si="8"/>
        <v>19669514.055</v>
      </c>
      <c r="R34" s="52">
        <f t="shared" si="3"/>
        <v>1966951.4055000001</v>
      </c>
      <c r="S34" s="52">
        <f t="shared" si="4"/>
        <v>373720.76704500004</v>
      </c>
      <c r="T34" s="52">
        <f t="shared" si="9"/>
        <v>20043234.822044998</v>
      </c>
      <c r="U34" s="42" t="s">
        <v>3</v>
      </c>
      <c r="W34" s="187">
        <v>3750</v>
      </c>
      <c r="X34" s="187">
        <f t="shared" si="5"/>
        <v>3862.5</v>
      </c>
    </row>
    <row r="35" spans="1:24" s="43" customFormat="1" ht="37.5" customHeight="1">
      <c r="A35" s="34"/>
      <c r="B35" s="65" t="s">
        <v>89</v>
      </c>
      <c r="C35" s="35">
        <v>1</v>
      </c>
      <c r="D35" s="36" t="s">
        <v>73</v>
      </c>
      <c r="E35" s="37" t="s">
        <v>65</v>
      </c>
      <c r="F35" s="37" t="s">
        <v>66</v>
      </c>
      <c r="G35" s="37">
        <f t="shared" si="11"/>
        <v>24</v>
      </c>
      <c r="H35" s="37" t="s">
        <v>67</v>
      </c>
      <c r="I35" s="159">
        <f t="shared" si="16"/>
        <v>1</v>
      </c>
      <c r="J35" s="161">
        <v>30</v>
      </c>
      <c r="K35" s="160">
        <f t="shared" si="12"/>
        <v>17876740.050000001</v>
      </c>
      <c r="L35" s="39">
        <f t="shared" si="13"/>
        <v>1</v>
      </c>
      <c r="M35" s="40">
        <f t="shared" si="14"/>
        <v>17876740.050000001</v>
      </c>
      <c r="N35" s="41">
        <f t="shared" si="15"/>
        <v>0.1</v>
      </c>
      <c r="O35" s="180">
        <f>+'ESTUDIO DE MERCADO_SEGURO'!$M30</f>
        <v>5100</v>
      </c>
      <c r="P35" s="40">
        <f t="shared" si="2"/>
        <v>1787674.0050000001</v>
      </c>
      <c r="Q35" s="40">
        <f t="shared" si="8"/>
        <v>19669514.055</v>
      </c>
      <c r="R35" s="40">
        <f t="shared" si="3"/>
        <v>1966951.4055000001</v>
      </c>
      <c r="S35" s="40">
        <f t="shared" si="4"/>
        <v>373720.76704500004</v>
      </c>
      <c r="T35" s="40">
        <f t="shared" si="9"/>
        <v>20043234.822044998</v>
      </c>
      <c r="U35" s="42" t="s">
        <v>3</v>
      </c>
      <c r="W35" s="187">
        <v>3750</v>
      </c>
      <c r="X35" s="187">
        <f t="shared" si="5"/>
        <v>3862.5</v>
      </c>
    </row>
    <row r="36" spans="1:24" s="43" customFormat="1" ht="37.5" customHeight="1">
      <c r="A36" s="34"/>
      <c r="B36" s="60" t="s">
        <v>90</v>
      </c>
      <c r="C36" s="35">
        <v>1</v>
      </c>
      <c r="D36" s="55" t="s">
        <v>73</v>
      </c>
      <c r="E36" s="38" t="s">
        <v>65</v>
      </c>
      <c r="F36" s="38" t="s">
        <v>66</v>
      </c>
      <c r="G36" s="38">
        <f t="shared" si="11"/>
        <v>24</v>
      </c>
      <c r="H36" s="38" t="s">
        <v>67</v>
      </c>
      <c r="I36" s="157">
        <f t="shared" si="16"/>
        <v>1</v>
      </c>
      <c r="J36" s="161">
        <v>30</v>
      </c>
      <c r="K36" s="160">
        <f t="shared" si="12"/>
        <v>17876740.050000001</v>
      </c>
      <c r="L36" s="51">
        <f t="shared" si="13"/>
        <v>1</v>
      </c>
      <c r="M36" s="52">
        <f t="shared" si="14"/>
        <v>17876740.050000001</v>
      </c>
      <c r="N36" s="53">
        <f t="shared" si="15"/>
        <v>0.1</v>
      </c>
      <c r="O36" s="180">
        <f>+'ESTUDIO DE MERCADO_SEGURO'!$M31</f>
        <v>5100</v>
      </c>
      <c r="P36" s="52">
        <f t="shared" si="2"/>
        <v>1787674.0050000001</v>
      </c>
      <c r="Q36" s="40">
        <f t="shared" si="8"/>
        <v>19669514.055</v>
      </c>
      <c r="R36" s="52">
        <f t="shared" si="3"/>
        <v>1966951.4055000001</v>
      </c>
      <c r="S36" s="52">
        <f t="shared" si="4"/>
        <v>373720.76704500004</v>
      </c>
      <c r="T36" s="52">
        <f t="shared" si="9"/>
        <v>20043234.822044998</v>
      </c>
      <c r="U36" s="42" t="s">
        <v>3</v>
      </c>
      <c r="W36" s="187">
        <v>3750</v>
      </c>
      <c r="X36" s="187">
        <f t="shared" si="5"/>
        <v>3862.5</v>
      </c>
    </row>
    <row r="37" spans="1:24" s="43" customFormat="1" ht="37.5" customHeight="1">
      <c r="A37" s="34"/>
      <c r="B37" s="66" t="s">
        <v>91</v>
      </c>
      <c r="C37" s="35">
        <v>1</v>
      </c>
      <c r="D37" s="36" t="s">
        <v>75</v>
      </c>
      <c r="E37" s="37" t="s">
        <v>65</v>
      </c>
      <c r="F37" s="37" t="s">
        <v>66</v>
      </c>
      <c r="G37" s="37">
        <f t="shared" si="11"/>
        <v>24</v>
      </c>
      <c r="H37" s="37" t="s">
        <v>67</v>
      </c>
      <c r="I37" s="159">
        <f t="shared" si="16"/>
        <v>1</v>
      </c>
      <c r="J37" s="161">
        <v>30</v>
      </c>
      <c r="K37" s="160">
        <f t="shared" si="12"/>
        <v>17876740.050000001</v>
      </c>
      <c r="L37" s="39">
        <f t="shared" si="13"/>
        <v>1</v>
      </c>
      <c r="M37" s="40">
        <f t="shared" si="14"/>
        <v>17876740.050000001</v>
      </c>
      <c r="N37" s="41">
        <f t="shared" si="15"/>
        <v>0.1</v>
      </c>
      <c r="O37" s="180">
        <f>+'ESTUDIO DE MERCADO_SEGURO'!$M32</f>
        <v>5100</v>
      </c>
      <c r="P37" s="40">
        <f t="shared" si="2"/>
        <v>1787674.0050000001</v>
      </c>
      <c r="Q37" s="40">
        <f t="shared" si="8"/>
        <v>19669514.055</v>
      </c>
      <c r="R37" s="40">
        <f t="shared" si="3"/>
        <v>1966951.4055000001</v>
      </c>
      <c r="S37" s="40">
        <f t="shared" si="4"/>
        <v>373720.76704500004</v>
      </c>
      <c r="T37" s="40">
        <f t="shared" si="9"/>
        <v>20043234.822044998</v>
      </c>
      <c r="U37" s="42" t="s">
        <v>53</v>
      </c>
      <c r="W37" s="187">
        <v>3750</v>
      </c>
      <c r="X37" s="187">
        <f t="shared" si="5"/>
        <v>3862.5</v>
      </c>
    </row>
    <row r="38" spans="1:24" s="43" customFormat="1" ht="37.5" customHeight="1">
      <c r="A38" s="34"/>
      <c r="B38" s="67" t="s">
        <v>92</v>
      </c>
      <c r="C38" s="35">
        <v>1</v>
      </c>
      <c r="D38" s="55" t="s">
        <v>75</v>
      </c>
      <c r="E38" s="38" t="s">
        <v>65</v>
      </c>
      <c r="F38" s="38" t="s">
        <v>66</v>
      </c>
      <c r="G38" s="38">
        <f t="shared" si="11"/>
        <v>24</v>
      </c>
      <c r="H38" s="38" t="s">
        <v>67</v>
      </c>
      <c r="I38" s="157">
        <f t="shared" si="16"/>
        <v>1</v>
      </c>
      <c r="J38" s="161">
        <v>30</v>
      </c>
      <c r="K38" s="160">
        <f t="shared" si="12"/>
        <v>17876740.050000001</v>
      </c>
      <c r="L38" s="51">
        <f t="shared" si="13"/>
        <v>1</v>
      </c>
      <c r="M38" s="52">
        <f t="shared" si="14"/>
        <v>17876740.050000001</v>
      </c>
      <c r="N38" s="53">
        <f t="shared" si="15"/>
        <v>0.1</v>
      </c>
      <c r="O38" s="180">
        <f>+'ESTUDIO DE MERCADO_SEGURO'!$M33</f>
        <v>5100</v>
      </c>
      <c r="P38" s="52">
        <f t="shared" si="2"/>
        <v>1787674.0050000001</v>
      </c>
      <c r="Q38" s="40">
        <f t="shared" si="8"/>
        <v>19669514.055</v>
      </c>
      <c r="R38" s="52">
        <f t="shared" si="3"/>
        <v>1966951.4055000001</v>
      </c>
      <c r="S38" s="52">
        <f t="shared" si="4"/>
        <v>373720.76704500004</v>
      </c>
      <c r="T38" s="52">
        <f t="shared" si="9"/>
        <v>20043234.822044998</v>
      </c>
      <c r="U38" s="42" t="s">
        <v>53</v>
      </c>
      <c r="W38" s="187">
        <v>3750</v>
      </c>
      <c r="X38" s="187">
        <f t="shared" si="5"/>
        <v>3862.5</v>
      </c>
    </row>
    <row r="39" spans="1:24" s="43" customFormat="1" ht="37.5" customHeight="1">
      <c r="A39" s="34"/>
      <c r="B39" s="66" t="s">
        <v>93</v>
      </c>
      <c r="C39" s="35">
        <v>1</v>
      </c>
      <c r="D39" s="36" t="s">
        <v>94</v>
      </c>
      <c r="E39" s="37" t="s">
        <v>65</v>
      </c>
      <c r="F39" s="37" t="s">
        <v>66</v>
      </c>
      <c r="G39" s="37">
        <f t="shared" si="11"/>
        <v>24</v>
      </c>
      <c r="H39" s="37" t="s">
        <v>67</v>
      </c>
      <c r="I39" s="159">
        <f t="shared" si="16"/>
        <v>1</v>
      </c>
      <c r="J39" s="161">
        <v>30</v>
      </c>
      <c r="K39" s="160">
        <f t="shared" si="12"/>
        <v>17876740.050000001</v>
      </c>
      <c r="L39" s="39">
        <f t="shared" si="13"/>
        <v>1</v>
      </c>
      <c r="M39" s="40">
        <f t="shared" si="14"/>
        <v>17876740.050000001</v>
      </c>
      <c r="N39" s="41">
        <f t="shared" si="15"/>
        <v>0.1</v>
      </c>
      <c r="O39" s="180">
        <f>+'ESTUDIO DE MERCADO_SEGURO'!$M34</f>
        <v>5100</v>
      </c>
      <c r="P39" s="40">
        <f t="shared" si="2"/>
        <v>1787674.0050000001</v>
      </c>
      <c r="Q39" s="40">
        <f t="shared" si="8"/>
        <v>19669514.055</v>
      </c>
      <c r="R39" s="40">
        <f t="shared" si="3"/>
        <v>1966951.4055000001</v>
      </c>
      <c r="S39" s="40">
        <f t="shared" si="4"/>
        <v>373720.76704500004</v>
      </c>
      <c r="T39" s="40">
        <f t="shared" si="9"/>
        <v>20043234.822044998</v>
      </c>
      <c r="U39" s="42" t="s">
        <v>53</v>
      </c>
      <c r="W39" s="187">
        <v>3750</v>
      </c>
      <c r="X39" s="187">
        <f t="shared" si="5"/>
        <v>3862.5</v>
      </c>
    </row>
    <row r="40" spans="1:24" s="43" customFormat="1" ht="37.5" customHeight="1">
      <c r="A40" s="34"/>
      <c r="B40" s="68" t="s">
        <v>95</v>
      </c>
      <c r="C40" s="69">
        <v>1</v>
      </c>
      <c r="D40" s="70" t="s">
        <v>80</v>
      </c>
      <c r="E40" s="71" t="s">
        <v>51</v>
      </c>
      <c r="F40" s="71" t="s">
        <v>66</v>
      </c>
      <c r="G40" s="71">
        <f t="shared" si="11"/>
        <v>24</v>
      </c>
      <c r="H40" s="71" t="s">
        <v>67</v>
      </c>
      <c r="I40" s="71">
        <f t="shared" si="16"/>
        <v>1</v>
      </c>
      <c r="J40" s="72">
        <v>30</v>
      </c>
      <c r="K40" s="73">
        <f t="shared" si="12"/>
        <v>17876740.050000001</v>
      </c>
      <c r="L40" s="74">
        <f t="shared" si="13"/>
        <v>1</v>
      </c>
      <c r="M40" s="75">
        <f t="shared" si="14"/>
        <v>17876740.050000001</v>
      </c>
      <c r="N40" s="76">
        <f t="shared" si="15"/>
        <v>0.08</v>
      </c>
      <c r="O40" s="180">
        <f>+'ESTUDIO DE MERCADO_SEGURO'!$M35</f>
        <v>5100</v>
      </c>
      <c r="P40" s="75">
        <f t="shared" si="2"/>
        <v>1430139.2040000001</v>
      </c>
      <c r="Q40" s="75">
        <f t="shared" si="8"/>
        <v>19311979.254000001</v>
      </c>
      <c r="R40" s="75">
        <f t="shared" si="3"/>
        <v>1931197.9254000001</v>
      </c>
      <c r="S40" s="75">
        <f t="shared" si="4"/>
        <v>366927.60582600004</v>
      </c>
      <c r="T40" s="75">
        <f t="shared" si="9"/>
        <v>19678906.859826002</v>
      </c>
      <c r="U40" s="77" t="s">
        <v>3</v>
      </c>
      <c r="W40" s="187">
        <v>3750</v>
      </c>
      <c r="X40" s="187">
        <f t="shared" si="5"/>
        <v>3862.5</v>
      </c>
    </row>
    <row r="41" spans="1:24" ht="24.75" customHeight="1">
      <c r="A41" s="1"/>
      <c r="B41" s="450" t="s">
        <v>4</v>
      </c>
      <c r="C41" s="450"/>
      <c r="D41" s="450"/>
      <c r="E41" s="450"/>
      <c r="F41" s="450"/>
      <c r="G41" s="450"/>
      <c r="H41" s="450"/>
      <c r="I41" s="450"/>
      <c r="J41" s="450"/>
      <c r="K41" s="78"/>
      <c r="L41" s="79"/>
      <c r="M41" s="80">
        <f>SUM(M12:M40)</f>
        <v>453609158.44290018</v>
      </c>
      <c r="N41" s="81"/>
      <c r="O41" s="181">
        <f t="shared" ref="O41:T41" si="17">SUM(O12:O40)</f>
        <v>118967</v>
      </c>
      <c r="P41" s="81">
        <f t="shared" si="17"/>
        <v>43796963.496432014</v>
      </c>
      <c r="Q41" s="81">
        <f t="shared" si="17"/>
        <v>497525088.93933213</v>
      </c>
      <c r="R41" s="81">
        <f t="shared" si="17"/>
        <v>49752508.893933207</v>
      </c>
      <c r="S41" s="81">
        <f t="shared" si="17"/>
        <v>9452976.6898473054</v>
      </c>
      <c r="T41" s="81">
        <f t="shared" si="17"/>
        <v>506978065.62917918</v>
      </c>
      <c r="U41" s="82"/>
      <c r="W41" s="190"/>
    </row>
    <row r="42" spans="1:24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4" ht="48.75" customHeight="1">
      <c r="A43" s="1"/>
      <c r="B43" s="451" t="s">
        <v>96</v>
      </c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87"/>
      <c r="N43" s="88"/>
      <c r="O43" s="88"/>
      <c r="P43" s="89"/>
      <c r="Q43" s="89"/>
      <c r="R43" s="89"/>
      <c r="S43" s="89"/>
      <c r="T43" s="88"/>
      <c r="U43" s="88"/>
    </row>
    <row r="44" spans="1:24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4" ht="15" customHeight="1">
      <c r="A45" s="1"/>
      <c r="B45" s="1"/>
      <c r="C45" s="1"/>
      <c r="D45" s="1" t="s">
        <v>97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43" t="s">
        <v>98</v>
      </c>
      <c r="S45" s="443"/>
      <c r="T45" s="100">
        <f>+M41</f>
        <v>453609158.44290018</v>
      </c>
      <c r="U45" s="101"/>
    </row>
    <row r="46" spans="1:24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43" t="s">
        <v>99</v>
      </c>
      <c r="S46" s="443"/>
      <c r="T46" s="100">
        <f>+P41</f>
        <v>43796963.496432014</v>
      </c>
      <c r="U46" s="101"/>
    </row>
    <row r="47" spans="1:24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43" t="s">
        <v>100</v>
      </c>
      <c r="S47" s="443"/>
      <c r="T47" s="102">
        <f>T45+T46+O41</f>
        <v>497525088.93933219</v>
      </c>
      <c r="U47" s="103"/>
    </row>
    <row r="48" spans="1:24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43" t="s">
        <v>101</v>
      </c>
      <c r="S48" s="443"/>
      <c r="T48" s="100">
        <f>+S41</f>
        <v>9452976.6898473054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56" t="s">
        <v>4</v>
      </c>
      <c r="S49" s="456"/>
      <c r="T49" s="106">
        <f>T47+T48</f>
        <v>506978065.62917948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57" t="s">
        <v>102</v>
      </c>
      <c r="F51" s="458"/>
      <c r="G51" s="458"/>
      <c r="H51" s="458"/>
      <c r="I51" s="459"/>
      <c r="J51" s="99" t="s">
        <v>98</v>
      </c>
      <c r="K51" s="110"/>
      <c r="L51" s="466">
        <f>SUMIF($U$12:$U$40,"anm",$M$12:$M$40)</f>
        <v>241686867.87960303</v>
      </c>
      <c r="M51" s="467"/>
      <c r="N51" s="111"/>
      <c r="O51" s="111"/>
      <c r="P51" s="112">
        <f>SUMIF($U$12:$U$39,"ANM",$U$12:$U$39)</f>
        <v>0</v>
      </c>
      <c r="Q51" s="468"/>
      <c r="R51" s="469" t="s">
        <v>3</v>
      </c>
      <c r="S51" s="470" t="s">
        <v>98</v>
      </c>
      <c r="T51" s="470"/>
      <c r="U51" s="100">
        <f>SUMIF($U$9:$U$40,"SGR",$M$9:$M$40)</f>
        <v>211922290.56329703</v>
      </c>
    </row>
    <row r="52" spans="1:21" ht="15.75">
      <c r="A52" s="105"/>
      <c r="B52" s="1"/>
      <c r="C52" s="1"/>
      <c r="D52" s="1"/>
      <c r="E52" s="460"/>
      <c r="F52" s="461"/>
      <c r="G52" s="461"/>
      <c r="H52" s="461"/>
      <c r="I52" s="462"/>
      <c r="J52" s="99" t="s">
        <v>99</v>
      </c>
      <c r="K52" s="110"/>
      <c r="L52" s="466">
        <f>SUMIF($U$12:$U$40,"anm",$P$12:$P$40)</f>
        <v>23267832.241368238</v>
      </c>
      <c r="M52" s="467"/>
      <c r="N52" s="111"/>
      <c r="O52" s="111"/>
      <c r="P52" s="112">
        <f>SUMIF($U$12:$U$39,"ANM",$U$12:$U$39)</f>
        <v>0</v>
      </c>
      <c r="Q52" s="468"/>
      <c r="R52" s="469"/>
      <c r="S52" s="470" t="s">
        <v>99</v>
      </c>
      <c r="T52" s="470"/>
      <c r="U52" s="114">
        <f>SUMIF($U$11:$U$40,"SGR",$P$11:$P$40)</f>
        <v>20529131.255063761</v>
      </c>
    </row>
    <row r="53" spans="1:21" ht="15.75">
      <c r="A53" s="1" t="s">
        <v>103</v>
      </c>
      <c r="B53" s="1"/>
      <c r="C53" s="1"/>
      <c r="D53" s="1"/>
      <c r="E53" s="460"/>
      <c r="F53" s="461"/>
      <c r="G53" s="461"/>
      <c r="H53" s="461"/>
      <c r="I53" s="462"/>
      <c r="J53" s="99" t="s">
        <v>104</v>
      </c>
      <c r="K53" s="113"/>
      <c r="L53" s="466">
        <f>SUMIF($U$12:$U$40,"anm",$O$12:$O$40)</f>
        <v>58454</v>
      </c>
      <c r="M53" s="467"/>
      <c r="N53" s="115"/>
      <c r="O53" s="115"/>
      <c r="P53" s="112"/>
      <c r="Q53" s="468"/>
      <c r="R53" s="469"/>
      <c r="S53" s="471" t="s">
        <v>104</v>
      </c>
      <c r="T53" s="472"/>
      <c r="U53" s="114">
        <f>SUMIF($U$12:$U$40,"SGR",$O$12:$O$40)</f>
        <v>60513</v>
      </c>
    </row>
    <row r="54" spans="1:21" ht="15.75">
      <c r="A54" s="1" t="s">
        <v>105</v>
      </c>
      <c r="B54" s="1"/>
      <c r="C54" s="1"/>
      <c r="D54" s="1"/>
      <c r="E54" s="460"/>
      <c r="F54" s="461"/>
      <c r="G54" s="461"/>
      <c r="H54" s="461"/>
      <c r="I54" s="462"/>
      <c r="J54" s="99" t="s">
        <v>100</v>
      </c>
      <c r="K54" s="110"/>
      <c r="L54" s="475">
        <f>L51+L52+L53</f>
        <v>265013154.12097126</v>
      </c>
      <c r="M54" s="476"/>
      <c r="N54" s="115"/>
      <c r="O54" s="115"/>
      <c r="P54" s="112">
        <f>SUMIF($U$12:$U$39,"ANM",$U$12:$U$39)</f>
        <v>0</v>
      </c>
      <c r="Q54" s="468"/>
      <c r="R54" s="469"/>
      <c r="S54" s="470" t="s">
        <v>100</v>
      </c>
      <c r="T54" s="470"/>
      <c r="U54" s="100">
        <f>U51+U52+U53</f>
        <v>232511934.81836081</v>
      </c>
    </row>
    <row r="55" spans="1:21" ht="15.75">
      <c r="A55" s="1" t="s">
        <v>106</v>
      </c>
      <c r="B55" s="1"/>
      <c r="C55" s="1"/>
      <c r="D55" s="1"/>
      <c r="E55" s="463"/>
      <c r="F55" s="464"/>
      <c r="G55" s="464"/>
      <c r="H55" s="464"/>
      <c r="I55" s="465"/>
      <c r="J55" s="99" t="s">
        <v>101</v>
      </c>
      <c r="K55" s="110"/>
      <c r="L55" s="477">
        <f>SUMIF($U$12:$U$40,"anm",$S$12:$S$40)</f>
        <v>5035249.9282984529</v>
      </c>
      <c r="M55" s="478"/>
      <c r="N55" s="115"/>
      <c r="O55" s="115"/>
      <c r="P55" s="116"/>
      <c r="Q55" s="468"/>
      <c r="R55" s="469"/>
      <c r="S55" s="471" t="s">
        <v>101</v>
      </c>
      <c r="T55" s="472"/>
      <c r="U55" s="100">
        <f>SUMIF($U$9:$U$40,"SGR",$S$9:$S$40)</f>
        <v>4417726.7615488553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52" t="s">
        <v>4</v>
      </c>
      <c r="K56" s="453"/>
      <c r="L56" s="118">
        <f>L54+L55</f>
        <v>270048404.04926974</v>
      </c>
      <c r="M56" s="119"/>
      <c r="N56" s="120"/>
      <c r="O56" s="120"/>
      <c r="P56" s="121"/>
      <c r="Q56" s="122"/>
      <c r="R56" s="123"/>
      <c r="S56" s="454" t="s">
        <v>4</v>
      </c>
      <c r="T56" s="455"/>
      <c r="U56" s="182">
        <f>(U54+U55)</f>
        <v>236929661.57990965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107</v>
      </c>
      <c r="K57" s="125"/>
      <c r="L57" s="126"/>
      <c r="M57" s="127"/>
      <c r="N57" s="128"/>
      <c r="O57" s="128"/>
      <c r="P57" s="129"/>
      <c r="Q57" s="130"/>
      <c r="R57" s="130"/>
      <c r="S57" s="473" t="s">
        <v>107</v>
      </c>
      <c r="T57" s="474"/>
      <c r="U57" s="183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29"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 D23:D1048576">
    <cfRule type="containsText" dxfId="38" priority="4" operator="containsText" text=" lunes a viernes (sin festivos)">
      <formula>NOT(ISERROR(SEARCH(" lunes a viernes (sin festivos)",C4)))</formula>
    </cfRule>
  </conditionalFormatting>
  <conditionalFormatting sqref="D1:D7">
    <cfRule type="containsText" dxfId="37" priority="2" operator="containsText" text=" lunes a viernes (sin festivos)">
      <formula>NOT(ISERROR(SEARCH(" lunes a viernes (sin festivos)",D1)))</formula>
    </cfRule>
  </conditionalFormatting>
  <conditionalFormatting sqref="D9:D21">
    <cfRule type="containsText" dxfId="36" priority="1" operator="containsText" text=" lunes a viernes (sin festivos)">
      <formula>NOT(ISERROR(SEARCH(" lunes a viernes (sin festivos)",D9)))</formula>
    </cfRule>
  </conditionalFormatting>
  <conditionalFormatting sqref="E9">
    <cfRule type="containsText" dxfId="35" priority="5" operator="containsText" text=" lunes a viernes (sin festivos)">
      <formula>NOT(ISERROR(SEARCH(" lunes a viernes (sin festivos)",E9)))</formula>
    </cfRule>
  </conditionalFormatting>
  <conditionalFormatting sqref="U1:U41 O11">
    <cfRule type="cellIs" dxfId="34" priority="3" operator="equal">
      <formula>"SGR"</formula>
    </cfRule>
  </conditionalFormatting>
  <conditionalFormatting sqref="U43:U50 U58:U1048576">
    <cfRule type="cellIs" dxfId="33" priority="6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69"/>
  <sheetViews>
    <sheetView showGridLines="0" topLeftCell="A20" zoomScale="60" zoomScaleNormal="60" workbookViewId="0">
      <selection activeCell="O12" sqref="O12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21.570312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15.140625" style="151" customWidth="1"/>
    <col min="12" max="12" width="28.140625" style="152" customWidth="1"/>
    <col min="13" max="13" width="20.5703125" style="152" bestFit="1" customWidth="1"/>
    <col min="14" max="14" width="15.42578125" style="86" customWidth="1"/>
    <col min="15" max="15" width="14" style="86" customWidth="1"/>
    <col min="16" max="16" width="19.85546875" style="153" customWidth="1"/>
    <col min="17" max="17" width="20.5703125" style="154" bestFit="1" customWidth="1"/>
    <col min="18" max="18" width="18.28515625" style="154" bestFit="1" customWidth="1"/>
    <col min="19" max="19" width="17" style="154" customWidth="1"/>
    <col min="20" max="20" width="24.140625" style="155" customWidth="1"/>
    <col min="21" max="21" width="23.85546875" style="155" customWidth="1"/>
    <col min="22" max="16384" width="25.7109375" style="2"/>
  </cols>
  <sheetData>
    <row r="1" spans="1:24" ht="15.75">
      <c r="A1" s="1"/>
      <c r="B1" s="444" t="s">
        <v>22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</row>
    <row r="2" spans="1:24" ht="15.75">
      <c r="A2" s="1"/>
      <c r="B2" s="3"/>
      <c r="C2" s="4"/>
      <c r="D2" s="445" t="s">
        <v>23</v>
      </c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5"/>
      <c r="Q2" s="6"/>
      <c r="R2" s="7"/>
      <c r="S2" s="4"/>
      <c r="T2" s="4"/>
      <c r="U2" s="4"/>
    </row>
    <row r="3" spans="1:24" ht="15.75">
      <c r="A3" s="1"/>
      <c r="B3" s="3"/>
      <c r="C3" s="4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5"/>
      <c r="Q3" s="6"/>
      <c r="R3" s="8"/>
      <c r="S3" s="4"/>
      <c r="T3" s="4"/>
      <c r="U3" s="4"/>
    </row>
    <row r="4" spans="1:24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4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4" ht="15.75">
      <c r="A6" s="1"/>
      <c r="B6" s="13"/>
      <c r="C6" s="13"/>
      <c r="D6" s="9" t="s">
        <v>24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25</v>
      </c>
      <c r="Q6" s="19"/>
      <c r="R6" s="24"/>
      <c r="S6" s="21"/>
      <c r="T6" s="21"/>
      <c r="U6" s="21"/>
    </row>
    <row r="7" spans="1:24" ht="15.75">
      <c r="A7" s="1"/>
      <c r="B7" s="13"/>
      <c r="C7" s="13"/>
      <c r="D7" s="9" t="s">
        <v>26</v>
      </c>
      <c r="E7" s="272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4" ht="15.75">
      <c r="A8" s="1"/>
      <c r="B8" s="13"/>
      <c r="C8" s="13"/>
      <c r="D8" s="27" t="s">
        <v>27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28</v>
      </c>
      <c r="P8" s="17"/>
      <c r="Q8" s="30" t="s">
        <v>29</v>
      </c>
      <c r="R8" s="21"/>
      <c r="S8" s="21"/>
      <c r="T8" s="21"/>
      <c r="U8" s="21"/>
    </row>
    <row r="9" spans="1:24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30</v>
      </c>
      <c r="P9" s="17"/>
      <c r="Q9" s="30" t="s">
        <v>31</v>
      </c>
      <c r="R9" s="21"/>
      <c r="S9" s="21"/>
      <c r="T9" s="21"/>
      <c r="U9" s="21"/>
    </row>
    <row r="10" spans="1:24" ht="15.75">
      <c r="A10" s="1"/>
      <c r="B10" s="446" t="s">
        <v>32</v>
      </c>
      <c r="C10" s="446"/>
      <c r="D10" s="446"/>
      <c r="E10" s="446"/>
      <c r="F10" s="446"/>
      <c r="G10" s="446"/>
      <c r="H10" s="446"/>
      <c r="I10" s="446"/>
      <c r="J10" s="446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31"/>
    </row>
    <row r="11" spans="1:24" s="33" customFormat="1" ht="45.75" customHeight="1">
      <c r="A11" s="32"/>
      <c r="B11" s="173" t="s">
        <v>33</v>
      </c>
      <c r="C11" s="174" t="s">
        <v>34</v>
      </c>
      <c r="D11" s="174" t="s">
        <v>35</v>
      </c>
      <c r="E11" s="174" t="s">
        <v>36</v>
      </c>
      <c r="F11" s="174" t="s">
        <v>37</v>
      </c>
      <c r="G11" s="174" t="s">
        <v>38</v>
      </c>
      <c r="H11" s="174" t="s">
        <v>39</v>
      </c>
      <c r="I11" s="174" t="s">
        <v>40</v>
      </c>
      <c r="J11" s="174" t="s">
        <v>41</v>
      </c>
      <c r="K11" s="175" t="s">
        <v>26</v>
      </c>
      <c r="L11" s="176" t="s">
        <v>42</v>
      </c>
      <c r="M11" s="177" t="s">
        <v>43</v>
      </c>
      <c r="N11" s="178" t="s">
        <v>26</v>
      </c>
      <c r="O11" s="179" t="s">
        <v>44</v>
      </c>
      <c r="P11" s="177" t="s">
        <v>45</v>
      </c>
      <c r="Q11" s="177" t="s">
        <v>43</v>
      </c>
      <c r="R11" s="177" t="s">
        <v>46</v>
      </c>
      <c r="S11" s="177" t="s">
        <v>47</v>
      </c>
      <c r="T11" s="177" t="s">
        <v>4</v>
      </c>
      <c r="U11" s="179" t="s">
        <v>48</v>
      </c>
      <c r="X11" s="192">
        <v>0.03</v>
      </c>
    </row>
    <row r="12" spans="1:24" s="43" customFormat="1" ht="39" customHeight="1">
      <c r="A12" s="34"/>
      <c r="B12" s="447" t="s">
        <v>49</v>
      </c>
      <c r="C12" s="164">
        <v>2</v>
      </c>
      <c r="D12" s="165" t="s">
        <v>50</v>
      </c>
      <c r="E12" s="166" t="s">
        <v>51</v>
      </c>
      <c r="F12" s="166" t="s">
        <v>52</v>
      </c>
      <c r="G12" s="166">
        <v>11</v>
      </c>
      <c r="H12" s="166" t="s">
        <v>29</v>
      </c>
      <c r="I12" s="167">
        <v>13</v>
      </c>
      <c r="J12" s="415">
        <v>22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10558076.014002001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844646.08112016006</v>
      </c>
      <c r="Q12" s="170">
        <f>+M12+O12+P12</f>
        <v>11404720.09512216</v>
      </c>
      <c r="R12" s="170">
        <f>+Q12*10%</f>
        <v>1140472.0095122161</v>
      </c>
      <c r="S12" s="170">
        <f>+R12*19%</f>
        <v>216689.68180732106</v>
      </c>
      <c r="T12" s="170">
        <f>+Q12+S12</f>
        <v>11621409.776929481</v>
      </c>
      <c r="U12" s="172" t="s">
        <v>53</v>
      </c>
      <c r="W12" s="187">
        <v>2750</v>
      </c>
      <c r="X12" s="187">
        <f>(W12*$X$11)+W12</f>
        <v>2832.5</v>
      </c>
    </row>
    <row r="13" spans="1:24" s="43" customFormat="1" ht="39" customHeight="1">
      <c r="A13" s="34"/>
      <c r="B13" s="448"/>
      <c r="C13" s="164">
        <v>2</v>
      </c>
      <c r="D13" s="165" t="s">
        <v>54</v>
      </c>
      <c r="E13" s="166" t="s">
        <v>51</v>
      </c>
      <c r="F13" s="166" t="s">
        <v>52</v>
      </c>
      <c r="G13" s="166">
        <v>1</v>
      </c>
      <c r="H13" s="166" t="s">
        <v>31</v>
      </c>
      <c r="I13" s="167">
        <v>11</v>
      </c>
      <c r="J13" s="415">
        <v>22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1249226.594694</v>
      </c>
      <c r="N13" s="41">
        <f t="shared" ref="N13:N39" si="1">+IF(E13="SIN ARMA",8%,IF(E13="CON ARMA",10%,0))</f>
        <v>0.08</v>
      </c>
      <c r="O13" s="180">
        <f>+'ESTUDIO DE MERCADO_SEGURO'!$M8</f>
        <v>1548</v>
      </c>
      <c r="P13" s="40">
        <f t="shared" ref="P13:P39" si="2">+M13*N13</f>
        <v>99938.127575520004</v>
      </c>
      <c r="Q13" s="40">
        <f>+M13+O13+P13</f>
        <v>1350712.7222695199</v>
      </c>
      <c r="R13" s="40">
        <f t="shared" ref="R13:R39" si="3">+Q13*10%</f>
        <v>135071.27222695199</v>
      </c>
      <c r="S13" s="40">
        <f t="shared" ref="S13:S39" si="4">+R13*19%</f>
        <v>25663.541723120878</v>
      </c>
      <c r="T13" s="40">
        <f>+Q13+S13</f>
        <v>1376376.2639926409</v>
      </c>
      <c r="U13" s="42" t="s">
        <v>53</v>
      </c>
      <c r="W13" s="187">
        <v>1375</v>
      </c>
      <c r="X13" s="187">
        <f t="shared" ref="X13:X40" si="5">(W13*$X$11)+W13</f>
        <v>1416.25</v>
      </c>
    </row>
    <row r="14" spans="1:24" s="43" customFormat="1" ht="39" customHeight="1">
      <c r="A14" s="34"/>
      <c r="B14" s="448"/>
      <c r="C14" s="35">
        <v>1</v>
      </c>
      <c r="D14" s="165" t="s">
        <v>55</v>
      </c>
      <c r="E14" s="37" t="s">
        <v>51</v>
      </c>
      <c r="F14" s="37" t="s">
        <v>52</v>
      </c>
      <c r="G14" s="37">
        <f t="shared" ref="G14:G16" si="6">IF(F14="24 HORAS",24,IF(F14="12 HORAS",12,0))</f>
        <v>12</v>
      </c>
      <c r="H14" s="37" t="s">
        <v>29</v>
      </c>
      <c r="I14" s="157">
        <v>13</v>
      </c>
      <c r="J14" s="162">
        <v>22</v>
      </c>
      <c r="K14" s="160">
        <f t="shared" ref="K14:K19" si="7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5758950.5530920001</v>
      </c>
      <c r="N14" s="41">
        <f t="shared" si="1"/>
        <v>0.08</v>
      </c>
      <c r="O14" s="180">
        <f>+'ESTUDIO DE MERCADO_SEGURO'!$M9</f>
        <v>1548</v>
      </c>
      <c r="P14" s="40">
        <f t="shared" si="2"/>
        <v>460716.04424736003</v>
      </c>
      <c r="Q14" s="40">
        <f t="shared" ref="Q14:Q39" si="8">+M14+O14+P14</f>
        <v>6221214.59733936</v>
      </c>
      <c r="R14" s="40">
        <f t="shared" si="3"/>
        <v>622121.459733936</v>
      </c>
      <c r="S14" s="40">
        <f t="shared" si="4"/>
        <v>118203.07734944785</v>
      </c>
      <c r="T14" s="40">
        <f t="shared" ref="T14:T39" si="9">+Q14+S14</f>
        <v>6339417.6746888077</v>
      </c>
      <c r="U14" s="42" t="s">
        <v>53</v>
      </c>
      <c r="W14" s="187">
        <v>1375</v>
      </c>
      <c r="X14" s="187">
        <f t="shared" si="5"/>
        <v>1416.25</v>
      </c>
    </row>
    <row r="15" spans="1:24" s="43" customFormat="1" ht="39" customHeight="1">
      <c r="A15" s="34"/>
      <c r="B15" s="448"/>
      <c r="C15" s="35">
        <v>1</v>
      </c>
      <c r="D15" s="165" t="s">
        <v>56</v>
      </c>
      <c r="E15" s="37" t="s">
        <v>51</v>
      </c>
      <c r="F15" s="37" t="s">
        <v>52</v>
      </c>
      <c r="G15" s="37">
        <f t="shared" si="6"/>
        <v>12</v>
      </c>
      <c r="H15" s="37" t="s">
        <v>29</v>
      </c>
      <c r="I15" s="157">
        <v>13</v>
      </c>
      <c r="J15" s="162">
        <v>22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0">IF(H15="N/a",(((K15*L15)/30))*J15*C15,(((K15*L15)/30)/I15)*G15*J15*C15)</f>
        <v>5758950.5530920001</v>
      </c>
      <c r="N15" s="41">
        <f t="shared" si="1"/>
        <v>0.08</v>
      </c>
      <c r="O15" s="180">
        <f>+'ESTUDIO DE MERCADO_SEGURO'!$M10</f>
        <v>1548</v>
      </c>
      <c r="P15" s="40">
        <f t="shared" si="2"/>
        <v>460716.04424736003</v>
      </c>
      <c r="Q15" s="40">
        <f t="shared" si="8"/>
        <v>6221214.59733936</v>
      </c>
      <c r="R15" s="40">
        <f t="shared" si="3"/>
        <v>622121.459733936</v>
      </c>
      <c r="S15" s="40">
        <f t="shared" si="4"/>
        <v>118203.07734944785</v>
      </c>
      <c r="T15" s="40">
        <f t="shared" si="9"/>
        <v>6339417.6746888077</v>
      </c>
      <c r="U15" s="42" t="s">
        <v>53</v>
      </c>
      <c r="W15" s="187">
        <v>1375</v>
      </c>
      <c r="X15" s="187">
        <f t="shared" si="5"/>
        <v>1416.25</v>
      </c>
    </row>
    <row r="16" spans="1:24" s="50" customFormat="1" ht="39" customHeight="1">
      <c r="A16" s="45"/>
      <c r="B16" s="448"/>
      <c r="C16" s="35">
        <v>1</v>
      </c>
      <c r="D16" s="165" t="s">
        <v>57</v>
      </c>
      <c r="E16" s="37" t="s">
        <v>51</v>
      </c>
      <c r="F16" s="37" t="s">
        <v>52</v>
      </c>
      <c r="G16" s="37">
        <f t="shared" si="6"/>
        <v>12</v>
      </c>
      <c r="H16" s="37" t="s">
        <v>29</v>
      </c>
      <c r="I16" s="157">
        <v>13</v>
      </c>
      <c r="J16" s="162">
        <v>22</v>
      </c>
      <c r="K16" s="160">
        <f t="shared" si="7"/>
        <v>17876740.050000001</v>
      </c>
      <c r="L16" s="169">
        <f t="shared" si="0"/>
        <v>0.47590000000000005</v>
      </c>
      <c r="M16" s="40">
        <f t="shared" si="10"/>
        <v>5758950.5530920001</v>
      </c>
      <c r="N16" s="47">
        <f t="shared" si="1"/>
        <v>0.08</v>
      </c>
      <c r="O16" s="180">
        <f>+'ESTUDIO DE MERCADO_SEGURO'!$M11</f>
        <v>2547</v>
      </c>
      <c r="P16" s="46">
        <f t="shared" si="2"/>
        <v>460716.04424736003</v>
      </c>
      <c r="Q16" s="48">
        <f t="shared" si="8"/>
        <v>6222213.59733936</v>
      </c>
      <c r="R16" s="46">
        <f t="shared" si="3"/>
        <v>622221.35973393603</v>
      </c>
      <c r="S16" s="46">
        <f t="shared" si="4"/>
        <v>118222.05834944785</v>
      </c>
      <c r="T16" s="46">
        <f t="shared" si="9"/>
        <v>6340435.6556888083</v>
      </c>
      <c r="U16" s="49" t="s">
        <v>53</v>
      </c>
      <c r="W16" s="188">
        <v>1875</v>
      </c>
      <c r="X16" s="187">
        <f t="shared" si="5"/>
        <v>1931.25</v>
      </c>
    </row>
    <row r="17" spans="1:24" s="50" customFormat="1" ht="39" customHeight="1">
      <c r="A17" s="45"/>
      <c r="B17" s="448"/>
      <c r="C17" s="35">
        <v>1</v>
      </c>
      <c r="D17" s="165" t="s">
        <v>58</v>
      </c>
      <c r="E17" s="38" t="s">
        <v>51</v>
      </c>
      <c r="F17" s="38" t="s">
        <v>59</v>
      </c>
      <c r="G17" s="38">
        <v>13</v>
      </c>
      <c r="H17" s="38" t="s">
        <v>29</v>
      </c>
      <c r="I17" s="157">
        <v>13</v>
      </c>
      <c r="J17" s="162">
        <v>30</v>
      </c>
      <c r="K17" s="160">
        <f t="shared" si="7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8657540.5897950009</v>
      </c>
      <c r="N17" s="47">
        <f t="shared" si="1"/>
        <v>0.08</v>
      </c>
      <c r="O17" s="180">
        <f>+'ESTUDIO DE MERCADO_SEGURO'!$M12</f>
        <v>1037</v>
      </c>
      <c r="P17" s="46">
        <f t="shared" si="2"/>
        <v>692603.24718360009</v>
      </c>
      <c r="Q17" s="48">
        <f t="shared" si="8"/>
        <v>9351180.8369786013</v>
      </c>
      <c r="R17" s="46">
        <f t="shared" si="3"/>
        <v>935118.08369786013</v>
      </c>
      <c r="S17" s="46">
        <f t="shared" si="4"/>
        <v>177672.43590259342</v>
      </c>
      <c r="T17" s="46">
        <f t="shared" si="9"/>
        <v>9528853.2728811949</v>
      </c>
      <c r="U17" s="49" t="s">
        <v>53</v>
      </c>
      <c r="W17" s="188">
        <v>625</v>
      </c>
      <c r="X17" s="187">
        <f t="shared" si="5"/>
        <v>643.75</v>
      </c>
    </row>
    <row r="18" spans="1:24" s="50" customFormat="1" ht="39" customHeight="1">
      <c r="A18" s="45"/>
      <c r="B18" s="448"/>
      <c r="C18" s="35">
        <v>1</v>
      </c>
      <c r="D18" s="165" t="s">
        <v>60</v>
      </c>
      <c r="E18" s="38" t="s">
        <v>51</v>
      </c>
      <c r="F18" s="38" t="s">
        <v>61</v>
      </c>
      <c r="G18" s="38">
        <v>11</v>
      </c>
      <c r="H18" s="38" t="s">
        <v>31</v>
      </c>
      <c r="I18" s="157">
        <v>11</v>
      </c>
      <c r="J18" s="162">
        <v>30</v>
      </c>
      <c r="K18" s="160">
        <f t="shared" si="7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9519199.4602049999</v>
      </c>
      <c r="N18" s="47">
        <f t="shared" si="1"/>
        <v>0.08</v>
      </c>
      <c r="O18" s="180">
        <f>+'ESTUDIO DE MERCADO_SEGURO'!$M13</f>
        <v>2865</v>
      </c>
      <c r="P18" s="46">
        <f t="shared" si="2"/>
        <v>761535.95681640005</v>
      </c>
      <c r="Q18" s="48">
        <f t="shared" si="8"/>
        <v>10283600.417021399</v>
      </c>
      <c r="R18" s="46">
        <f t="shared" si="3"/>
        <v>1028360.04170214</v>
      </c>
      <c r="S18" s="46">
        <f t="shared" si="4"/>
        <v>195388.4079234066</v>
      </c>
      <c r="T18" s="46">
        <f t="shared" si="9"/>
        <v>10478988.824944805</v>
      </c>
      <c r="U18" s="42" t="s">
        <v>3</v>
      </c>
      <c r="W18" s="188">
        <v>1875</v>
      </c>
      <c r="X18" s="187">
        <f t="shared" si="5"/>
        <v>1931.25</v>
      </c>
    </row>
    <row r="19" spans="1:24" s="50" customFormat="1" ht="39" customHeight="1">
      <c r="A19" s="45"/>
      <c r="B19" s="448"/>
      <c r="C19" s="35">
        <v>1</v>
      </c>
      <c r="D19" s="165" t="s">
        <v>62</v>
      </c>
      <c r="E19" s="38" t="s">
        <v>51</v>
      </c>
      <c r="F19" s="38" t="s">
        <v>52</v>
      </c>
      <c r="G19" s="38">
        <v>12</v>
      </c>
      <c r="H19" s="38" t="s">
        <v>29</v>
      </c>
      <c r="I19" s="157">
        <v>13</v>
      </c>
      <c r="J19" s="162">
        <v>26</v>
      </c>
      <c r="K19" s="160">
        <f t="shared" si="7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7301032.4718359997</v>
      </c>
      <c r="N19" s="53">
        <f t="shared" si="1"/>
        <v>0.08</v>
      </c>
      <c r="O19" s="180">
        <f>+'ESTUDIO DE MERCADO_SEGURO'!$M14</f>
        <v>2328</v>
      </c>
      <c r="P19" s="52">
        <f>+M19*N19</f>
        <v>584082.59774688003</v>
      </c>
      <c r="Q19" s="52">
        <f t="shared" si="8"/>
        <v>7887443.0695828795</v>
      </c>
      <c r="R19" s="52">
        <f>+Q19*10%</f>
        <v>788744.30695828795</v>
      </c>
      <c r="S19" s="52">
        <f t="shared" si="4"/>
        <v>149861.41832207472</v>
      </c>
      <c r="T19" s="52">
        <f t="shared" si="9"/>
        <v>8037304.4879049547</v>
      </c>
      <c r="U19" s="54" t="s">
        <v>53</v>
      </c>
      <c r="W19" s="188">
        <v>1250.0000000000007</v>
      </c>
      <c r="X19" s="187">
        <f t="shared" si="5"/>
        <v>1287.5000000000007</v>
      </c>
    </row>
    <row r="20" spans="1:24" s="43" customFormat="1" ht="39" customHeight="1">
      <c r="A20" s="34"/>
      <c r="B20" s="61" t="s">
        <v>63</v>
      </c>
      <c r="C20" s="35">
        <v>1</v>
      </c>
      <c r="D20" s="36" t="s">
        <v>64</v>
      </c>
      <c r="E20" s="37" t="s">
        <v>65</v>
      </c>
      <c r="F20" s="37" t="s">
        <v>66</v>
      </c>
      <c r="G20" s="37">
        <f t="shared" ref="G20:G39" si="11">IF(F20="24 HORAS",24,IF(F20="12 HORAS",12,0))</f>
        <v>24</v>
      </c>
      <c r="H20" s="37" t="s">
        <v>67</v>
      </c>
      <c r="I20" s="157">
        <f>IF(H20="N/A",1,IF(H20="NOCTURNO",9,IF(H20="DIURNO",15,0)))</f>
        <v>1</v>
      </c>
      <c r="J20" s="161">
        <v>30</v>
      </c>
      <c r="K20" s="160">
        <f t="shared" ref="K20:K40" si="12">+$E$6*$E$7</f>
        <v>17876740.050000001</v>
      </c>
      <c r="L20" s="39">
        <f t="shared" ref="L20:L39" si="13">+IF(F20="12 HORAS",IF(H20="DIURNO",55.97%,0),0)+IF(F20="12 HORAS",IF(H20="NOCTURNO",44.03%,0),1)</f>
        <v>1</v>
      </c>
      <c r="M20" s="44">
        <f t="shared" ref="M20:M39" si="14">IF(H20="N/a",(((K20*L20)/30))*J20*C20,(((K20*L20)/30)/I20)*G20*J20*C20)</f>
        <v>17876740.050000001</v>
      </c>
      <c r="N20" s="41">
        <f t="shared" si="1"/>
        <v>0.1</v>
      </c>
      <c r="O20" s="180">
        <f>+'ESTUDIO DE MERCADO_SEGURO'!$M15</f>
        <v>5100</v>
      </c>
      <c r="P20" s="40">
        <f t="shared" si="2"/>
        <v>1787674.0050000001</v>
      </c>
      <c r="Q20" s="40">
        <f t="shared" si="8"/>
        <v>19669514.055</v>
      </c>
      <c r="R20" s="40">
        <f t="shared" si="3"/>
        <v>1966951.4055000001</v>
      </c>
      <c r="S20" s="40">
        <f t="shared" si="4"/>
        <v>373720.76704500004</v>
      </c>
      <c r="T20" s="40">
        <f t="shared" si="9"/>
        <v>20043234.822044998</v>
      </c>
      <c r="U20" s="42" t="s">
        <v>53</v>
      </c>
      <c r="W20" s="187">
        <v>3750</v>
      </c>
      <c r="X20" s="187">
        <f t="shared" si="5"/>
        <v>3862.5</v>
      </c>
    </row>
    <row r="21" spans="1:24" s="57" customFormat="1" ht="39" customHeight="1">
      <c r="A21" s="1"/>
      <c r="B21" s="61" t="s">
        <v>68</v>
      </c>
      <c r="C21" s="35">
        <v>1</v>
      </c>
      <c r="D21" s="55" t="s">
        <v>69</v>
      </c>
      <c r="E21" s="38" t="s">
        <v>65</v>
      </c>
      <c r="F21" s="38" t="s">
        <v>66</v>
      </c>
      <c r="G21" s="38">
        <f t="shared" si="11"/>
        <v>24</v>
      </c>
      <c r="H21" s="37" t="s">
        <v>67</v>
      </c>
      <c r="I21" s="157">
        <f t="shared" ref="I21:I39" si="15">IF(H21="N/A",1,IF(H21="NOCTURNO",9,IF(H21="DIURNO",15,0)))</f>
        <v>1</v>
      </c>
      <c r="J21" s="161">
        <v>30</v>
      </c>
      <c r="K21" s="160">
        <f t="shared" si="12"/>
        <v>17876740.050000001</v>
      </c>
      <c r="L21" s="51">
        <f t="shared" si="13"/>
        <v>1</v>
      </c>
      <c r="M21" s="56">
        <f t="shared" si="14"/>
        <v>17876740.050000001</v>
      </c>
      <c r="N21" s="53">
        <f t="shared" si="1"/>
        <v>0.1</v>
      </c>
      <c r="O21" s="180">
        <f>+'ESTUDIO DE MERCADO_SEGURO'!$M16</f>
        <v>5100</v>
      </c>
      <c r="P21" s="52">
        <f t="shared" si="2"/>
        <v>1787674.0050000001</v>
      </c>
      <c r="Q21" s="40">
        <f t="shared" si="8"/>
        <v>19669514.055</v>
      </c>
      <c r="R21" s="52">
        <f t="shared" si="3"/>
        <v>1966951.4055000001</v>
      </c>
      <c r="S21" s="52">
        <f t="shared" si="4"/>
        <v>373720.76704500004</v>
      </c>
      <c r="T21" s="52">
        <f t="shared" si="9"/>
        <v>20043234.822044998</v>
      </c>
      <c r="U21" s="42" t="s">
        <v>53</v>
      </c>
      <c r="W21" s="189">
        <v>3750</v>
      </c>
      <c r="X21" s="187">
        <f t="shared" si="5"/>
        <v>3862.5</v>
      </c>
    </row>
    <row r="22" spans="1:24" s="57" customFormat="1" ht="39" customHeight="1">
      <c r="A22" s="1"/>
      <c r="B22" s="60" t="s">
        <v>70</v>
      </c>
      <c r="C22" s="35">
        <v>1</v>
      </c>
      <c r="D22" s="163" t="s">
        <v>71</v>
      </c>
      <c r="E22" s="58" t="s">
        <v>51</v>
      </c>
      <c r="F22" s="58" t="s">
        <v>52</v>
      </c>
      <c r="G22" s="58">
        <f>IF(F22="24 HORAS",24,IF(F22="12 HORAS",12,0))</f>
        <v>12</v>
      </c>
      <c r="H22" s="58" t="s">
        <v>29</v>
      </c>
      <c r="I22" s="158">
        <v>13</v>
      </c>
      <c r="J22" s="161">
        <v>22</v>
      </c>
      <c r="K22" s="160">
        <f t="shared" si="12"/>
        <v>17876740.050000001</v>
      </c>
      <c r="L22" s="169">
        <f t="shared" ref="L22" si="16">IF(H22="DIURNO",47.59%,IF(H22="NOCTURNO",52.41%,0))</f>
        <v>0.47590000000000005</v>
      </c>
      <c r="M22" s="44">
        <f>IF(H22="N/a",(((K22*L22)/30))*J22*C22,(((K22*L22)/30)/I22)*G22*J22*C22)</f>
        <v>5758950.5530920001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460716.04424736003</v>
      </c>
      <c r="Q22" s="40">
        <f>+M22+O22+P22</f>
        <v>6221214.59733936</v>
      </c>
      <c r="R22" s="44">
        <f>+Q22*10%</f>
        <v>622121.459733936</v>
      </c>
      <c r="S22" s="44">
        <f>+R22*19%</f>
        <v>118203.07734944785</v>
      </c>
      <c r="T22" s="44">
        <f>+Q22+S22</f>
        <v>6339417.6746888077</v>
      </c>
      <c r="U22" s="42" t="s">
        <v>3</v>
      </c>
      <c r="V22" s="416">
        <f>T12/2</f>
        <v>5810704.8884647405</v>
      </c>
      <c r="W22" s="189">
        <v>1081.3</v>
      </c>
      <c r="X22" s="187">
        <f t="shared" si="5"/>
        <v>1113.739</v>
      </c>
    </row>
    <row r="23" spans="1:24" s="57" customFormat="1" ht="39" customHeight="1">
      <c r="A23" s="1"/>
      <c r="B23" s="60" t="s">
        <v>72</v>
      </c>
      <c r="C23" s="35">
        <v>1</v>
      </c>
      <c r="D23" s="36" t="s">
        <v>73</v>
      </c>
      <c r="E23" s="37" t="s">
        <v>65</v>
      </c>
      <c r="F23" s="37" t="s">
        <v>66</v>
      </c>
      <c r="G23" s="37">
        <f t="shared" si="11"/>
        <v>24</v>
      </c>
      <c r="H23" s="37" t="s">
        <v>67</v>
      </c>
      <c r="I23" s="157">
        <f t="shared" si="15"/>
        <v>1</v>
      </c>
      <c r="J23" s="161">
        <v>30</v>
      </c>
      <c r="K23" s="160">
        <f t="shared" si="12"/>
        <v>17876740.050000001</v>
      </c>
      <c r="L23" s="39">
        <f t="shared" si="13"/>
        <v>1</v>
      </c>
      <c r="M23" s="40">
        <f t="shared" si="14"/>
        <v>17876740.050000001</v>
      </c>
      <c r="N23" s="41">
        <f t="shared" si="1"/>
        <v>0.1</v>
      </c>
      <c r="O23" s="180">
        <f>+'ESTUDIO DE MERCADO_SEGURO'!$M18</f>
        <v>5100</v>
      </c>
      <c r="P23" s="40">
        <f t="shared" si="2"/>
        <v>1787674.0050000001</v>
      </c>
      <c r="Q23" s="40">
        <f t="shared" si="8"/>
        <v>19669514.055</v>
      </c>
      <c r="R23" s="40">
        <f t="shared" si="3"/>
        <v>1966951.4055000001</v>
      </c>
      <c r="S23" s="40">
        <f t="shared" si="4"/>
        <v>373720.76704500004</v>
      </c>
      <c r="T23" s="40">
        <f t="shared" si="9"/>
        <v>20043234.822044998</v>
      </c>
      <c r="U23" s="42" t="s">
        <v>3</v>
      </c>
      <c r="W23" s="189">
        <v>3750</v>
      </c>
      <c r="X23" s="187">
        <f t="shared" si="5"/>
        <v>3862.5</v>
      </c>
    </row>
    <row r="24" spans="1:24" s="43" customFormat="1" ht="39" customHeight="1">
      <c r="A24" s="34"/>
      <c r="B24" s="61" t="s">
        <v>74</v>
      </c>
      <c r="C24" s="35">
        <v>1</v>
      </c>
      <c r="D24" s="55" t="s">
        <v>75</v>
      </c>
      <c r="E24" s="38" t="s">
        <v>65</v>
      </c>
      <c r="F24" s="38" t="s">
        <v>66</v>
      </c>
      <c r="G24" s="38">
        <f t="shared" si="11"/>
        <v>24</v>
      </c>
      <c r="H24" s="38" t="s">
        <v>67</v>
      </c>
      <c r="I24" s="157">
        <f t="shared" si="15"/>
        <v>1</v>
      </c>
      <c r="J24" s="161">
        <v>30</v>
      </c>
      <c r="K24" s="160">
        <f t="shared" si="12"/>
        <v>17876740.050000001</v>
      </c>
      <c r="L24" s="51">
        <f t="shared" si="13"/>
        <v>1</v>
      </c>
      <c r="M24" s="52">
        <f t="shared" si="14"/>
        <v>17876740.050000001</v>
      </c>
      <c r="N24" s="53">
        <f t="shared" si="1"/>
        <v>0.1</v>
      </c>
      <c r="O24" s="180">
        <f>+'ESTUDIO DE MERCADO_SEGURO'!$M19</f>
        <v>5100</v>
      </c>
      <c r="P24" s="52">
        <f t="shared" si="2"/>
        <v>1787674.0050000001</v>
      </c>
      <c r="Q24" s="40">
        <f t="shared" si="8"/>
        <v>19669514.055</v>
      </c>
      <c r="R24" s="52">
        <f t="shared" si="3"/>
        <v>1966951.4055000001</v>
      </c>
      <c r="S24" s="52">
        <f t="shared" si="4"/>
        <v>373720.76704500004</v>
      </c>
      <c r="T24" s="52">
        <f t="shared" si="9"/>
        <v>20043234.822044998</v>
      </c>
      <c r="U24" s="42" t="s">
        <v>53</v>
      </c>
      <c r="W24" s="187">
        <v>3750</v>
      </c>
      <c r="X24" s="187">
        <f t="shared" si="5"/>
        <v>3862.5</v>
      </c>
    </row>
    <row r="25" spans="1:24" s="43" customFormat="1" ht="39" customHeight="1">
      <c r="A25" s="34"/>
      <c r="B25" s="60" t="s">
        <v>76</v>
      </c>
      <c r="C25" s="35">
        <v>1</v>
      </c>
      <c r="D25" s="36" t="s">
        <v>77</v>
      </c>
      <c r="E25" s="37" t="s">
        <v>65</v>
      </c>
      <c r="F25" s="37" t="s">
        <v>66</v>
      </c>
      <c r="G25" s="37">
        <f t="shared" si="11"/>
        <v>24</v>
      </c>
      <c r="H25" s="37" t="s">
        <v>67</v>
      </c>
      <c r="I25" s="157">
        <f t="shared" si="15"/>
        <v>1</v>
      </c>
      <c r="J25" s="161">
        <v>30</v>
      </c>
      <c r="K25" s="160">
        <f t="shared" si="12"/>
        <v>17876740.050000001</v>
      </c>
      <c r="L25" s="39">
        <f t="shared" si="13"/>
        <v>1</v>
      </c>
      <c r="M25" s="40">
        <f t="shared" si="14"/>
        <v>17876740.050000001</v>
      </c>
      <c r="N25" s="41">
        <f t="shared" si="1"/>
        <v>0.1</v>
      </c>
      <c r="O25" s="180">
        <f>+'ESTUDIO DE MERCADO_SEGURO'!$M20</f>
        <v>5100</v>
      </c>
      <c r="P25" s="40">
        <f t="shared" si="2"/>
        <v>1787674.0050000001</v>
      </c>
      <c r="Q25" s="40">
        <f t="shared" si="8"/>
        <v>19669514.055</v>
      </c>
      <c r="R25" s="40">
        <f t="shared" si="3"/>
        <v>1966951.4055000001</v>
      </c>
      <c r="S25" s="40">
        <f t="shared" si="4"/>
        <v>373720.76704500004</v>
      </c>
      <c r="T25" s="40">
        <f t="shared" si="9"/>
        <v>20043234.822044998</v>
      </c>
      <c r="U25" s="42" t="s">
        <v>3</v>
      </c>
      <c r="W25" s="187">
        <v>3750</v>
      </c>
      <c r="X25" s="187">
        <f t="shared" si="5"/>
        <v>3862.5</v>
      </c>
    </row>
    <row r="26" spans="1:24" s="57" customFormat="1" ht="39" customHeight="1">
      <c r="A26" s="1"/>
      <c r="B26" s="60" t="s">
        <v>78</v>
      </c>
      <c r="C26" s="35">
        <v>1</v>
      </c>
      <c r="D26" s="55" t="s">
        <v>77</v>
      </c>
      <c r="E26" s="38" t="s">
        <v>65</v>
      </c>
      <c r="F26" s="38" t="s">
        <v>66</v>
      </c>
      <c r="G26" s="38">
        <f t="shared" si="11"/>
        <v>24</v>
      </c>
      <c r="H26" s="38" t="s">
        <v>67</v>
      </c>
      <c r="I26" s="157">
        <f t="shared" si="15"/>
        <v>1</v>
      </c>
      <c r="J26" s="161">
        <v>30</v>
      </c>
      <c r="K26" s="160">
        <f t="shared" si="12"/>
        <v>17876740.050000001</v>
      </c>
      <c r="L26" s="51">
        <f t="shared" si="13"/>
        <v>1</v>
      </c>
      <c r="M26" s="52">
        <f t="shared" si="14"/>
        <v>17876740.050000001</v>
      </c>
      <c r="N26" s="53">
        <f t="shared" si="1"/>
        <v>0.1</v>
      </c>
      <c r="O26" s="180">
        <f>+'ESTUDIO DE MERCADO_SEGURO'!$M21</f>
        <v>5100</v>
      </c>
      <c r="P26" s="52">
        <f t="shared" si="2"/>
        <v>1787674.0050000001</v>
      </c>
      <c r="Q26" s="40">
        <f t="shared" si="8"/>
        <v>19669514.055</v>
      </c>
      <c r="R26" s="52">
        <f t="shared" si="3"/>
        <v>1966951.4055000001</v>
      </c>
      <c r="S26" s="52">
        <f t="shared" si="4"/>
        <v>373720.76704500004</v>
      </c>
      <c r="T26" s="52">
        <f t="shared" si="9"/>
        <v>20043234.822044998</v>
      </c>
      <c r="U26" s="42" t="s">
        <v>3</v>
      </c>
      <c r="W26" s="189">
        <v>3750</v>
      </c>
      <c r="X26" s="187">
        <f t="shared" si="5"/>
        <v>3862.5</v>
      </c>
    </row>
    <row r="27" spans="1:24" s="57" customFormat="1" ht="39" customHeight="1">
      <c r="A27" s="1"/>
      <c r="B27" s="60" t="s">
        <v>79</v>
      </c>
      <c r="C27" s="35">
        <v>1</v>
      </c>
      <c r="D27" s="36" t="s">
        <v>80</v>
      </c>
      <c r="E27" s="37" t="s">
        <v>65</v>
      </c>
      <c r="F27" s="37" t="s">
        <v>66</v>
      </c>
      <c r="G27" s="37">
        <f t="shared" si="11"/>
        <v>24</v>
      </c>
      <c r="H27" s="37" t="s">
        <v>67</v>
      </c>
      <c r="I27" s="159">
        <f t="shared" si="15"/>
        <v>1</v>
      </c>
      <c r="J27" s="161">
        <v>30</v>
      </c>
      <c r="K27" s="160">
        <f t="shared" si="12"/>
        <v>17876740.050000001</v>
      </c>
      <c r="L27" s="39">
        <f t="shared" si="13"/>
        <v>1</v>
      </c>
      <c r="M27" s="40">
        <f t="shared" si="14"/>
        <v>17876740.050000001</v>
      </c>
      <c r="N27" s="41">
        <f t="shared" si="1"/>
        <v>0.1</v>
      </c>
      <c r="O27" s="180">
        <f>+'ESTUDIO DE MERCADO_SEGURO'!$M22</f>
        <v>5100</v>
      </c>
      <c r="P27" s="40">
        <f t="shared" si="2"/>
        <v>1787674.0050000001</v>
      </c>
      <c r="Q27" s="40">
        <f t="shared" si="8"/>
        <v>19669514.055</v>
      </c>
      <c r="R27" s="40">
        <f t="shared" si="3"/>
        <v>1966951.4055000001</v>
      </c>
      <c r="S27" s="40">
        <f t="shared" si="4"/>
        <v>373720.76704500004</v>
      </c>
      <c r="T27" s="40">
        <f t="shared" si="9"/>
        <v>20043234.822044998</v>
      </c>
      <c r="U27" s="42" t="s">
        <v>3</v>
      </c>
      <c r="W27" s="189">
        <v>3750</v>
      </c>
      <c r="X27" s="187">
        <f t="shared" si="5"/>
        <v>3862.5</v>
      </c>
    </row>
    <row r="28" spans="1:24" s="57" customFormat="1" ht="39" customHeight="1">
      <c r="A28" s="1"/>
      <c r="B28" s="60" t="s">
        <v>81</v>
      </c>
      <c r="C28" s="35">
        <v>1</v>
      </c>
      <c r="D28" s="55" t="s">
        <v>77</v>
      </c>
      <c r="E28" s="38" t="s">
        <v>65</v>
      </c>
      <c r="F28" s="38" t="s">
        <v>66</v>
      </c>
      <c r="G28" s="38">
        <f t="shared" si="11"/>
        <v>24</v>
      </c>
      <c r="H28" s="38" t="s">
        <v>67</v>
      </c>
      <c r="I28" s="157">
        <f t="shared" si="15"/>
        <v>1</v>
      </c>
      <c r="J28" s="161">
        <v>30</v>
      </c>
      <c r="K28" s="160">
        <f t="shared" si="12"/>
        <v>17876740.050000001</v>
      </c>
      <c r="L28" s="51">
        <f t="shared" si="13"/>
        <v>1</v>
      </c>
      <c r="M28" s="52">
        <f t="shared" si="14"/>
        <v>17876740.050000001</v>
      </c>
      <c r="N28" s="53">
        <f t="shared" si="1"/>
        <v>0.1</v>
      </c>
      <c r="O28" s="180">
        <f>+'ESTUDIO DE MERCADO_SEGURO'!$M23</f>
        <v>5100</v>
      </c>
      <c r="P28" s="52">
        <f t="shared" si="2"/>
        <v>1787674.0050000001</v>
      </c>
      <c r="Q28" s="40">
        <f t="shared" si="8"/>
        <v>19669514.055</v>
      </c>
      <c r="R28" s="52">
        <f t="shared" si="3"/>
        <v>1966951.4055000001</v>
      </c>
      <c r="S28" s="52">
        <f t="shared" si="4"/>
        <v>373720.76704500004</v>
      </c>
      <c r="T28" s="52">
        <f t="shared" si="9"/>
        <v>20043234.822044998</v>
      </c>
      <c r="U28" s="42" t="s">
        <v>3</v>
      </c>
      <c r="W28" s="189">
        <v>3750</v>
      </c>
      <c r="X28" s="187">
        <f t="shared" si="5"/>
        <v>3862.5</v>
      </c>
    </row>
    <row r="29" spans="1:24" s="57" customFormat="1" ht="39" customHeight="1">
      <c r="A29" s="1"/>
      <c r="B29" s="449" t="s">
        <v>82</v>
      </c>
      <c r="C29" s="35">
        <v>1</v>
      </c>
      <c r="D29" s="36" t="s">
        <v>77</v>
      </c>
      <c r="E29" s="37" t="s">
        <v>65</v>
      </c>
      <c r="F29" s="37" t="s">
        <v>66</v>
      </c>
      <c r="G29" s="37">
        <f t="shared" si="11"/>
        <v>24</v>
      </c>
      <c r="H29" s="37" t="s">
        <v>67</v>
      </c>
      <c r="I29" s="159">
        <f t="shared" si="15"/>
        <v>1</v>
      </c>
      <c r="J29" s="161">
        <v>30</v>
      </c>
      <c r="K29" s="160">
        <f t="shared" si="12"/>
        <v>17876740.050000001</v>
      </c>
      <c r="L29" s="39">
        <f t="shared" si="13"/>
        <v>1</v>
      </c>
      <c r="M29" s="40">
        <f t="shared" si="14"/>
        <v>17876740.050000001</v>
      </c>
      <c r="N29" s="41">
        <f t="shared" si="1"/>
        <v>0.1</v>
      </c>
      <c r="O29" s="180">
        <f>+'ESTUDIO DE MERCADO_SEGURO'!$M24</f>
        <v>5100</v>
      </c>
      <c r="P29" s="40">
        <f t="shared" si="2"/>
        <v>1787674.0050000001</v>
      </c>
      <c r="Q29" s="40">
        <f t="shared" si="8"/>
        <v>19669514.055</v>
      </c>
      <c r="R29" s="40">
        <f t="shared" si="3"/>
        <v>1966951.4055000001</v>
      </c>
      <c r="S29" s="40">
        <f t="shared" si="4"/>
        <v>373720.76704500004</v>
      </c>
      <c r="T29" s="40">
        <f t="shared" si="9"/>
        <v>20043234.822044998</v>
      </c>
      <c r="U29" s="42" t="s">
        <v>53</v>
      </c>
      <c r="W29" s="189">
        <v>3750</v>
      </c>
      <c r="X29" s="187">
        <f t="shared" si="5"/>
        <v>3862.5</v>
      </c>
    </row>
    <row r="30" spans="1:24" s="57" customFormat="1" ht="39" customHeight="1">
      <c r="A30" s="1"/>
      <c r="B30" s="449"/>
      <c r="C30" s="35">
        <v>1</v>
      </c>
      <c r="D30" s="36" t="s">
        <v>77</v>
      </c>
      <c r="E30" s="37" t="s">
        <v>65</v>
      </c>
      <c r="F30" s="37" t="s">
        <v>66</v>
      </c>
      <c r="G30" s="37">
        <f t="shared" si="11"/>
        <v>24</v>
      </c>
      <c r="H30" s="37" t="s">
        <v>67</v>
      </c>
      <c r="I30" s="159">
        <f t="shared" si="15"/>
        <v>1</v>
      </c>
      <c r="J30" s="161">
        <v>30</v>
      </c>
      <c r="K30" s="160">
        <f t="shared" si="12"/>
        <v>17876740.050000001</v>
      </c>
      <c r="L30" s="39">
        <f t="shared" si="13"/>
        <v>1</v>
      </c>
      <c r="M30" s="40">
        <f t="shared" si="14"/>
        <v>17876740.050000001</v>
      </c>
      <c r="N30" s="41">
        <f t="shared" si="1"/>
        <v>0.1</v>
      </c>
      <c r="O30" s="180">
        <f>+'ESTUDIO DE MERCADO_SEGURO'!$M25</f>
        <v>5100</v>
      </c>
      <c r="P30" s="40">
        <f t="shared" si="2"/>
        <v>1787674.0050000001</v>
      </c>
      <c r="Q30" s="40">
        <f t="shared" si="8"/>
        <v>19669514.055</v>
      </c>
      <c r="R30" s="40">
        <f t="shared" si="3"/>
        <v>1966951.4055000001</v>
      </c>
      <c r="S30" s="40">
        <f t="shared" si="4"/>
        <v>373720.76704500004</v>
      </c>
      <c r="T30" s="40">
        <f t="shared" si="9"/>
        <v>20043234.822044998</v>
      </c>
      <c r="U30" s="42" t="s">
        <v>3</v>
      </c>
      <c r="W30" s="189">
        <v>3750</v>
      </c>
      <c r="X30" s="187">
        <f t="shared" si="5"/>
        <v>3862.5</v>
      </c>
    </row>
    <row r="31" spans="1:24" s="57" customFormat="1" ht="39" customHeight="1">
      <c r="A31" s="1"/>
      <c r="B31" s="63" t="s">
        <v>83</v>
      </c>
      <c r="C31" s="35">
        <v>2</v>
      </c>
      <c r="D31" s="36" t="s">
        <v>84</v>
      </c>
      <c r="E31" s="37" t="s">
        <v>65</v>
      </c>
      <c r="F31" s="37" t="s">
        <v>66</v>
      </c>
      <c r="G31" s="37">
        <f t="shared" si="11"/>
        <v>24</v>
      </c>
      <c r="H31" s="37" t="s">
        <v>67</v>
      </c>
      <c r="I31" s="159">
        <f t="shared" si="15"/>
        <v>1</v>
      </c>
      <c r="J31" s="161">
        <v>30</v>
      </c>
      <c r="K31" s="160">
        <f t="shared" si="12"/>
        <v>17876740.050000001</v>
      </c>
      <c r="L31" s="39">
        <f t="shared" si="13"/>
        <v>1</v>
      </c>
      <c r="M31" s="40">
        <f t="shared" si="14"/>
        <v>35753480.100000001</v>
      </c>
      <c r="N31" s="41">
        <f t="shared" si="1"/>
        <v>0.1</v>
      </c>
      <c r="O31" s="180">
        <f>+'ESTUDIO DE MERCADO_SEGURO'!$M26</f>
        <v>5100</v>
      </c>
      <c r="P31" s="40">
        <f t="shared" si="2"/>
        <v>3575348.0100000002</v>
      </c>
      <c r="Q31" s="40">
        <f t="shared" si="8"/>
        <v>39333928.109999999</v>
      </c>
      <c r="R31" s="40">
        <f t="shared" si="3"/>
        <v>3933392.8110000002</v>
      </c>
      <c r="S31" s="40">
        <f t="shared" si="4"/>
        <v>747344.63409000007</v>
      </c>
      <c r="T31" s="40">
        <f t="shared" si="9"/>
        <v>40081272.744089998</v>
      </c>
      <c r="U31" s="42" t="s">
        <v>53</v>
      </c>
      <c r="W31" s="189">
        <v>3750</v>
      </c>
      <c r="X31" s="187">
        <f t="shared" si="5"/>
        <v>3862.5</v>
      </c>
    </row>
    <row r="32" spans="1:24" s="57" customFormat="1" ht="39" customHeight="1">
      <c r="A32" s="1"/>
      <c r="B32" s="60" t="s">
        <v>85</v>
      </c>
      <c r="C32" s="35">
        <v>1</v>
      </c>
      <c r="D32" s="55" t="s">
        <v>73</v>
      </c>
      <c r="E32" s="38" t="s">
        <v>65</v>
      </c>
      <c r="F32" s="38" t="s">
        <v>66</v>
      </c>
      <c r="G32" s="38">
        <f t="shared" si="11"/>
        <v>24</v>
      </c>
      <c r="H32" s="38" t="s">
        <v>67</v>
      </c>
      <c r="I32" s="157">
        <f t="shared" si="15"/>
        <v>1</v>
      </c>
      <c r="J32" s="161">
        <v>30</v>
      </c>
      <c r="K32" s="160">
        <f t="shared" si="12"/>
        <v>17876740.050000001</v>
      </c>
      <c r="L32" s="51">
        <f t="shared" si="13"/>
        <v>1</v>
      </c>
      <c r="M32" s="52">
        <f t="shared" si="14"/>
        <v>17876740.050000001</v>
      </c>
      <c r="N32" s="53">
        <f t="shared" si="1"/>
        <v>0.1</v>
      </c>
      <c r="O32" s="180">
        <f>+'ESTUDIO DE MERCADO_SEGURO'!$M27</f>
        <v>5100</v>
      </c>
      <c r="P32" s="52">
        <f t="shared" si="2"/>
        <v>1787674.0050000001</v>
      </c>
      <c r="Q32" s="40">
        <f t="shared" si="8"/>
        <v>19669514.055</v>
      </c>
      <c r="R32" s="52">
        <f t="shared" si="3"/>
        <v>1966951.4055000001</v>
      </c>
      <c r="S32" s="52">
        <f t="shared" si="4"/>
        <v>373720.76704500004</v>
      </c>
      <c r="T32" s="52">
        <f t="shared" si="9"/>
        <v>20043234.822044998</v>
      </c>
      <c r="U32" s="42" t="s">
        <v>3</v>
      </c>
      <c r="W32" s="189">
        <v>3750</v>
      </c>
      <c r="X32" s="187">
        <f t="shared" si="5"/>
        <v>3862.5</v>
      </c>
    </row>
    <row r="33" spans="1:24" s="57" customFormat="1" ht="39" customHeight="1">
      <c r="A33" s="1"/>
      <c r="B33" s="64" t="s">
        <v>86</v>
      </c>
      <c r="C33" s="35">
        <v>2</v>
      </c>
      <c r="D33" s="36" t="s">
        <v>87</v>
      </c>
      <c r="E33" s="37" t="s">
        <v>65</v>
      </c>
      <c r="F33" s="37" t="s">
        <v>66</v>
      </c>
      <c r="G33" s="37">
        <f t="shared" si="11"/>
        <v>24</v>
      </c>
      <c r="H33" s="37" t="s">
        <v>67</v>
      </c>
      <c r="I33" s="159">
        <f t="shared" si="15"/>
        <v>1</v>
      </c>
      <c r="J33" s="161">
        <v>30</v>
      </c>
      <c r="K33" s="160">
        <f t="shared" si="12"/>
        <v>17876740.050000001</v>
      </c>
      <c r="L33" s="39">
        <f t="shared" si="13"/>
        <v>1</v>
      </c>
      <c r="M33" s="40">
        <f t="shared" si="14"/>
        <v>35753480.100000001</v>
      </c>
      <c r="N33" s="41">
        <f t="shared" si="1"/>
        <v>0.1</v>
      </c>
      <c r="O33" s="180">
        <f>+'ESTUDIO DE MERCADO_SEGURO'!$M28</f>
        <v>5100</v>
      </c>
      <c r="P33" s="40">
        <f t="shared" si="2"/>
        <v>3575348.0100000002</v>
      </c>
      <c r="Q33" s="40">
        <f t="shared" si="8"/>
        <v>39333928.109999999</v>
      </c>
      <c r="R33" s="40">
        <f t="shared" si="3"/>
        <v>3933392.8110000002</v>
      </c>
      <c r="S33" s="40">
        <f t="shared" si="4"/>
        <v>747344.63409000007</v>
      </c>
      <c r="T33" s="40">
        <f t="shared" si="9"/>
        <v>40081272.744089998</v>
      </c>
      <c r="U33" s="42" t="s">
        <v>53</v>
      </c>
      <c r="W33" s="189">
        <v>3750</v>
      </c>
      <c r="X33" s="187">
        <f t="shared" si="5"/>
        <v>3862.5</v>
      </c>
    </row>
    <row r="34" spans="1:24" s="43" customFormat="1" ht="39" customHeight="1">
      <c r="A34" s="34"/>
      <c r="B34" s="62" t="s">
        <v>88</v>
      </c>
      <c r="C34" s="35">
        <v>1</v>
      </c>
      <c r="D34" s="55" t="s">
        <v>77</v>
      </c>
      <c r="E34" s="38" t="s">
        <v>65</v>
      </c>
      <c r="F34" s="38" t="s">
        <v>66</v>
      </c>
      <c r="G34" s="38">
        <f t="shared" si="11"/>
        <v>24</v>
      </c>
      <c r="H34" s="38" t="s">
        <v>67</v>
      </c>
      <c r="I34" s="157">
        <f t="shared" si="15"/>
        <v>1</v>
      </c>
      <c r="J34" s="161">
        <v>30</v>
      </c>
      <c r="K34" s="160">
        <f t="shared" si="12"/>
        <v>17876740.050000001</v>
      </c>
      <c r="L34" s="51">
        <f t="shared" si="13"/>
        <v>1</v>
      </c>
      <c r="M34" s="52">
        <f t="shared" si="14"/>
        <v>17876740.050000001</v>
      </c>
      <c r="N34" s="53">
        <f t="shared" si="1"/>
        <v>0.1</v>
      </c>
      <c r="O34" s="180">
        <f>+'ESTUDIO DE MERCADO_SEGURO'!$M29</f>
        <v>5100</v>
      </c>
      <c r="P34" s="52">
        <f t="shared" si="2"/>
        <v>1787674.0050000001</v>
      </c>
      <c r="Q34" s="40">
        <f t="shared" si="8"/>
        <v>19669514.055</v>
      </c>
      <c r="R34" s="52">
        <f t="shared" si="3"/>
        <v>1966951.4055000001</v>
      </c>
      <c r="S34" s="52">
        <f t="shared" si="4"/>
        <v>373720.76704500004</v>
      </c>
      <c r="T34" s="52">
        <f t="shared" si="9"/>
        <v>20043234.822044998</v>
      </c>
      <c r="U34" s="42" t="s">
        <v>3</v>
      </c>
      <c r="W34" s="187">
        <v>3750</v>
      </c>
      <c r="X34" s="187">
        <f t="shared" si="5"/>
        <v>3862.5</v>
      </c>
    </row>
    <row r="35" spans="1:24" s="43" customFormat="1" ht="39" customHeight="1">
      <c r="A35" s="34"/>
      <c r="B35" s="65" t="s">
        <v>89</v>
      </c>
      <c r="C35" s="35">
        <v>1</v>
      </c>
      <c r="D35" s="36" t="s">
        <v>73</v>
      </c>
      <c r="E35" s="37" t="s">
        <v>65</v>
      </c>
      <c r="F35" s="37" t="s">
        <v>66</v>
      </c>
      <c r="G35" s="37">
        <f t="shared" si="11"/>
        <v>24</v>
      </c>
      <c r="H35" s="37" t="s">
        <v>67</v>
      </c>
      <c r="I35" s="159">
        <f t="shared" si="15"/>
        <v>1</v>
      </c>
      <c r="J35" s="161">
        <v>30</v>
      </c>
      <c r="K35" s="160">
        <f t="shared" si="12"/>
        <v>17876740.050000001</v>
      </c>
      <c r="L35" s="39">
        <f t="shared" si="13"/>
        <v>1</v>
      </c>
      <c r="M35" s="40">
        <f t="shared" si="14"/>
        <v>17876740.050000001</v>
      </c>
      <c r="N35" s="41">
        <f t="shared" si="1"/>
        <v>0.1</v>
      </c>
      <c r="O35" s="180">
        <f>+'ESTUDIO DE MERCADO_SEGURO'!$M30</f>
        <v>5100</v>
      </c>
      <c r="P35" s="40">
        <f t="shared" si="2"/>
        <v>1787674.0050000001</v>
      </c>
      <c r="Q35" s="40">
        <f t="shared" si="8"/>
        <v>19669514.055</v>
      </c>
      <c r="R35" s="40">
        <f t="shared" si="3"/>
        <v>1966951.4055000001</v>
      </c>
      <c r="S35" s="40">
        <f t="shared" si="4"/>
        <v>373720.76704500004</v>
      </c>
      <c r="T35" s="40">
        <f t="shared" si="9"/>
        <v>20043234.822044998</v>
      </c>
      <c r="U35" s="42" t="s">
        <v>3</v>
      </c>
      <c r="W35" s="187">
        <v>3750</v>
      </c>
      <c r="X35" s="187">
        <f t="shared" si="5"/>
        <v>3862.5</v>
      </c>
    </row>
    <row r="36" spans="1:24" s="43" customFormat="1" ht="39" customHeight="1">
      <c r="A36" s="34"/>
      <c r="B36" s="60" t="s">
        <v>90</v>
      </c>
      <c r="C36" s="35">
        <v>1</v>
      </c>
      <c r="D36" s="55" t="s">
        <v>73</v>
      </c>
      <c r="E36" s="38" t="s">
        <v>65</v>
      </c>
      <c r="F36" s="38" t="s">
        <v>66</v>
      </c>
      <c r="G36" s="38">
        <f t="shared" si="11"/>
        <v>24</v>
      </c>
      <c r="H36" s="38" t="s">
        <v>67</v>
      </c>
      <c r="I36" s="157">
        <f t="shared" si="15"/>
        <v>1</v>
      </c>
      <c r="J36" s="161">
        <v>30</v>
      </c>
      <c r="K36" s="160">
        <f t="shared" si="12"/>
        <v>17876740.050000001</v>
      </c>
      <c r="L36" s="51">
        <f t="shared" si="13"/>
        <v>1</v>
      </c>
      <c r="M36" s="52">
        <f t="shared" si="14"/>
        <v>17876740.050000001</v>
      </c>
      <c r="N36" s="53">
        <f t="shared" si="1"/>
        <v>0.1</v>
      </c>
      <c r="O36" s="180">
        <f>+'ESTUDIO DE MERCADO_SEGURO'!$M31</f>
        <v>5100</v>
      </c>
      <c r="P36" s="52">
        <f t="shared" si="2"/>
        <v>1787674.0050000001</v>
      </c>
      <c r="Q36" s="40">
        <f t="shared" si="8"/>
        <v>19669514.055</v>
      </c>
      <c r="R36" s="52">
        <f t="shared" si="3"/>
        <v>1966951.4055000001</v>
      </c>
      <c r="S36" s="52">
        <f t="shared" si="4"/>
        <v>373720.76704500004</v>
      </c>
      <c r="T36" s="52">
        <f t="shared" si="9"/>
        <v>20043234.822044998</v>
      </c>
      <c r="U36" s="42" t="s">
        <v>3</v>
      </c>
      <c r="W36" s="187">
        <v>3750</v>
      </c>
      <c r="X36" s="187">
        <f t="shared" si="5"/>
        <v>3862.5</v>
      </c>
    </row>
    <row r="37" spans="1:24" s="43" customFormat="1" ht="39" customHeight="1">
      <c r="A37" s="34"/>
      <c r="B37" s="66" t="s">
        <v>91</v>
      </c>
      <c r="C37" s="35">
        <v>1</v>
      </c>
      <c r="D37" s="36" t="s">
        <v>75</v>
      </c>
      <c r="E37" s="37" t="s">
        <v>65</v>
      </c>
      <c r="F37" s="37" t="s">
        <v>66</v>
      </c>
      <c r="G37" s="37">
        <f t="shared" si="11"/>
        <v>24</v>
      </c>
      <c r="H37" s="37" t="s">
        <v>67</v>
      </c>
      <c r="I37" s="159">
        <f t="shared" si="15"/>
        <v>1</v>
      </c>
      <c r="J37" s="161">
        <v>30</v>
      </c>
      <c r="K37" s="160">
        <f t="shared" si="12"/>
        <v>17876740.050000001</v>
      </c>
      <c r="L37" s="39">
        <f t="shared" si="13"/>
        <v>1</v>
      </c>
      <c r="M37" s="40">
        <f t="shared" si="14"/>
        <v>17876740.050000001</v>
      </c>
      <c r="N37" s="41">
        <f t="shared" si="1"/>
        <v>0.1</v>
      </c>
      <c r="O37" s="180">
        <f>+'ESTUDIO DE MERCADO_SEGURO'!$M32</f>
        <v>5100</v>
      </c>
      <c r="P37" s="40">
        <f t="shared" si="2"/>
        <v>1787674.0050000001</v>
      </c>
      <c r="Q37" s="40">
        <f t="shared" si="8"/>
        <v>19669514.055</v>
      </c>
      <c r="R37" s="40">
        <f t="shared" si="3"/>
        <v>1966951.4055000001</v>
      </c>
      <c r="S37" s="40">
        <f t="shared" si="4"/>
        <v>373720.76704500004</v>
      </c>
      <c r="T37" s="40">
        <f t="shared" si="9"/>
        <v>20043234.822044998</v>
      </c>
      <c r="U37" s="42" t="s">
        <v>53</v>
      </c>
      <c r="W37" s="187">
        <v>3750</v>
      </c>
      <c r="X37" s="187">
        <f t="shared" si="5"/>
        <v>3862.5</v>
      </c>
    </row>
    <row r="38" spans="1:24" s="43" customFormat="1" ht="39" customHeight="1">
      <c r="A38" s="34"/>
      <c r="B38" s="67" t="s">
        <v>92</v>
      </c>
      <c r="C38" s="35">
        <v>1</v>
      </c>
      <c r="D38" s="55" t="s">
        <v>75</v>
      </c>
      <c r="E38" s="38" t="s">
        <v>65</v>
      </c>
      <c r="F38" s="38" t="s">
        <v>66</v>
      </c>
      <c r="G38" s="38">
        <f t="shared" si="11"/>
        <v>24</v>
      </c>
      <c r="H38" s="38" t="s">
        <v>67</v>
      </c>
      <c r="I38" s="157">
        <f t="shared" si="15"/>
        <v>1</v>
      </c>
      <c r="J38" s="161">
        <v>30</v>
      </c>
      <c r="K38" s="160">
        <f t="shared" si="12"/>
        <v>17876740.050000001</v>
      </c>
      <c r="L38" s="51">
        <f t="shared" si="13"/>
        <v>1</v>
      </c>
      <c r="M38" s="52">
        <f t="shared" si="14"/>
        <v>17876740.050000001</v>
      </c>
      <c r="N38" s="53">
        <f t="shared" si="1"/>
        <v>0.1</v>
      </c>
      <c r="O38" s="180">
        <f>+'ESTUDIO DE MERCADO_SEGURO'!$M33</f>
        <v>5100</v>
      </c>
      <c r="P38" s="52">
        <f t="shared" si="2"/>
        <v>1787674.0050000001</v>
      </c>
      <c r="Q38" s="40">
        <f t="shared" si="8"/>
        <v>19669514.055</v>
      </c>
      <c r="R38" s="52">
        <f t="shared" si="3"/>
        <v>1966951.4055000001</v>
      </c>
      <c r="S38" s="52">
        <f t="shared" si="4"/>
        <v>373720.76704500004</v>
      </c>
      <c r="T38" s="52">
        <f t="shared" si="9"/>
        <v>20043234.822044998</v>
      </c>
      <c r="U38" s="42" t="s">
        <v>53</v>
      </c>
      <c r="W38" s="187">
        <v>3750</v>
      </c>
      <c r="X38" s="187">
        <f t="shared" si="5"/>
        <v>3862.5</v>
      </c>
    </row>
    <row r="39" spans="1:24" s="43" customFormat="1" ht="39" customHeight="1">
      <c r="A39" s="34"/>
      <c r="B39" s="66" t="s">
        <v>93</v>
      </c>
      <c r="C39" s="35">
        <v>1</v>
      </c>
      <c r="D39" s="36" t="s">
        <v>94</v>
      </c>
      <c r="E39" s="37" t="s">
        <v>65</v>
      </c>
      <c r="F39" s="37" t="s">
        <v>66</v>
      </c>
      <c r="G39" s="37">
        <f t="shared" si="11"/>
        <v>24</v>
      </c>
      <c r="H39" s="37" t="s">
        <v>67</v>
      </c>
      <c r="I39" s="159">
        <f t="shared" si="15"/>
        <v>1</v>
      </c>
      <c r="J39" s="161">
        <v>30</v>
      </c>
      <c r="K39" s="160">
        <f t="shared" si="12"/>
        <v>17876740.050000001</v>
      </c>
      <c r="L39" s="39">
        <f t="shared" si="13"/>
        <v>1</v>
      </c>
      <c r="M39" s="40">
        <f t="shared" si="14"/>
        <v>17876740.050000001</v>
      </c>
      <c r="N39" s="41">
        <f t="shared" si="1"/>
        <v>0.1</v>
      </c>
      <c r="O39" s="180">
        <f>+'ESTUDIO DE MERCADO_SEGURO'!$M34</f>
        <v>5100</v>
      </c>
      <c r="P39" s="40">
        <f t="shared" si="2"/>
        <v>1787674.0050000001</v>
      </c>
      <c r="Q39" s="40">
        <f t="shared" si="8"/>
        <v>19669514.055</v>
      </c>
      <c r="R39" s="40">
        <f t="shared" si="3"/>
        <v>1966951.4055000001</v>
      </c>
      <c r="S39" s="40">
        <f t="shared" si="4"/>
        <v>373720.76704500004</v>
      </c>
      <c r="T39" s="40">
        <f t="shared" si="9"/>
        <v>20043234.822044998</v>
      </c>
      <c r="U39" s="42" t="s">
        <v>53</v>
      </c>
      <c r="W39" s="187">
        <v>3750</v>
      </c>
      <c r="X39" s="187">
        <f t="shared" si="5"/>
        <v>3862.5</v>
      </c>
    </row>
    <row r="40" spans="1:24" s="43" customFormat="1" ht="39" customHeight="1">
      <c r="A40" s="34"/>
      <c r="B40" s="68" t="s">
        <v>95</v>
      </c>
      <c r="C40" s="69">
        <v>1</v>
      </c>
      <c r="D40" s="70" t="s">
        <v>80</v>
      </c>
      <c r="E40" s="71" t="s">
        <v>51</v>
      </c>
      <c r="F40" s="71" t="s">
        <v>66</v>
      </c>
      <c r="G40" s="71">
        <f>IF(F40="24 HORAS",24,IF(F40="12 HORAS",12,0))</f>
        <v>24</v>
      </c>
      <c r="H40" s="71" t="s">
        <v>67</v>
      </c>
      <c r="I40" s="71">
        <f>IF(H40="N/A",1,IF(H40="NOCTURNO",9,IF(H40="DIURNO",15,0)))</f>
        <v>1</v>
      </c>
      <c r="J40" s="72">
        <v>30</v>
      </c>
      <c r="K40" s="73">
        <f t="shared" si="12"/>
        <v>17876740.050000001</v>
      </c>
      <c r="L40" s="74">
        <f>+IF(F40="12 HORAS",IF(H40="DIURNO",55.97%,0),0)+IF(F40="12 HORAS",IF(H40="NOCTURNO",44.03%,0),1)</f>
        <v>1</v>
      </c>
      <c r="M40" s="75">
        <f>IF(H40="N/a",(((K40*L40)/30))*J40*C40,(((K40*L40)/30)/I40)*G40*J40*C40)</f>
        <v>17876740.050000001</v>
      </c>
      <c r="N40" s="76">
        <f>+IF(E40="SIN ARMA",8%,IF(E40="CON ARMA",10%,0))</f>
        <v>0.08</v>
      </c>
      <c r="O40" s="180">
        <f>+'ESTUDIO DE MERCADO_SEGURO'!$M35</f>
        <v>5100</v>
      </c>
      <c r="P40" s="75">
        <f>+M40*N40</f>
        <v>1430139.2040000001</v>
      </c>
      <c r="Q40" s="75">
        <f>+M40+O40+P40</f>
        <v>19311979.254000001</v>
      </c>
      <c r="R40" s="75">
        <f>+Q40*10%</f>
        <v>1931197.9254000001</v>
      </c>
      <c r="S40" s="75">
        <f>+R40*19%</f>
        <v>366927.60582600004</v>
      </c>
      <c r="T40" s="75">
        <f>+Q40+S40</f>
        <v>19678906.859826002</v>
      </c>
      <c r="U40" s="77" t="s">
        <v>3</v>
      </c>
      <c r="W40" s="187">
        <v>3750</v>
      </c>
      <c r="X40" s="187">
        <f t="shared" si="5"/>
        <v>3862.5</v>
      </c>
    </row>
    <row r="41" spans="1:24" ht="24.75" customHeight="1">
      <c r="A41" s="1"/>
      <c r="B41" s="450" t="s">
        <v>4</v>
      </c>
      <c r="C41" s="450"/>
      <c r="D41" s="450"/>
      <c r="E41" s="450"/>
      <c r="F41" s="450"/>
      <c r="G41" s="450"/>
      <c r="H41" s="450"/>
      <c r="I41" s="450"/>
      <c r="J41" s="450"/>
      <c r="K41" s="78"/>
      <c r="L41" s="79"/>
      <c r="M41" s="80">
        <f>SUM(M12:M40)</f>
        <v>453609158.44290018</v>
      </c>
      <c r="N41" s="81"/>
      <c r="O41" s="181">
        <f t="shared" ref="O41:T41" si="17">SUM(O12:O40)</f>
        <v>118967</v>
      </c>
      <c r="P41" s="81">
        <f t="shared" si="17"/>
        <v>43796963.496432014</v>
      </c>
      <c r="Q41" s="81">
        <f t="shared" si="17"/>
        <v>497525088.93933213</v>
      </c>
      <c r="R41" s="81">
        <f t="shared" si="17"/>
        <v>49752508.893933207</v>
      </c>
      <c r="S41" s="81">
        <f t="shared" si="17"/>
        <v>9452976.6898473054</v>
      </c>
      <c r="T41" s="81">
        <f t="shared" si="17"/>
        <v>506978065.62917918</v>
      </c>
      <c r="U41" s="82"/>
    </row>
    <row r="42" spans="1:24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4" ht="41.25" customHeight="1">
      <c r="A43" s="1"/>
      <c r="B43" s="451" t="s">
        <v>96</v>
      </c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87"/>
      <c r="N43" s="88"/>
      <c r="O43" s="88"/>
      <c r="P43" s="89"/>
      <c r="Q43" s="89"/>
      <c r="R43" s="89"/>
      <c r="S43" s="89"/>
      <c r="T43" s="88"/>
      <c r="U43" s="88"/>
    </row>
    <row r="44" spans="1:24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4" ht="15" customHeight="1">
      <c r="A45" s="1"/>
      <c r="B45" s="1"/>
      <c r="C45" s="1"/>
      <c r="D45" s="1" t="s">
        <v>97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43" t="s">
        <v>98</v>
      </c>
      <c r="S45" s="443"/>
      <c r="T45" s="100">
        <f>+M41</f>
        <v>453609158.44290018</v>
      </c>
      <c r="U45" s="101"/>
    </row>
    <row r="46" spans="1:24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43" t="s">
        <v>99</v>
      </c>
      <c r="S46" s="443"/>
      <c r="T46" s="100">
        <f>+P41</f>
        <v>43796963.496432014</v>
      </c>
      <c r="U46" s="101"/>
    </row>
    <row r="47" spans="1:24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43" t="s">
        <v>100</v>
      </c>
      <c r="S47" s="443"/>
      <c r="T47" s="102">
        <f>T45+T46+O41</f>
        <v>497525088.93933219</v>
      </c>
      <c r="U47" s="103"/>
    </row>
    <row r="48" spans="1:24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43" t="s">
        <v>101</v>
      </c>
      <c r="S48" s="443"/>
      <c r="T48" s="100">
        <f>+S41</f>
        <v>9452976.6898473054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56" t="s">
        <v>4</v>
      </c>
      <c r="S49" s="456"/>
      <c r="T49" s="106">
        <f>T47+T48</f>
        <v>506978065.62917948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57" t="s">
        <v>102</v>
      </c>
      <c r="F51" s="458"/>
      <c r="G51" s="458"/>
      <c r="H51" s="458"/>
      <c r="I51" s="459"/>
      <c r="J51" s="99" t="s">
        <v>98</v>
      </c>
      <c r="K51" s="110"/>
      <c r="L51" s="466">
        <f>SUMIF($U$12:$U$40,"anm",$M$12:$M$40)</f>
        <v>241686867.87960303</v>
      </c>
      <c r="M51" s="467"/>
      <c r="N51" s="111"/>
      <c r="O51" s="111"/>
      <c r="P51" s="112">
        <f>SUMIF($U$12:$U$39,"ANM",$U$12:$U$39)</f>
        <v>0</v>
      </c>
      <c r="Q51" s="468"/>
      <c r="R51" s="469" t="s">
        <v>3</v>
      </c>
      <c r="S51" s="470" t="s">
        <v>98</v>
      </c>
      <c r="T51" s="470"/>
      <c r="U51" s="100">
        <f>SUMIF($U$9:$U$40,"SGR",$M$9:$M$40)</f>
        <v>211922290.56329703</v>
      </c>
    </row>
    <row r="52" spans="1:21" ht="15.75">
      <c r="A52" s="105"/>
      <c r="B52" s="1"/>
      <c r="C52" s="1"/>
      <c r="D52" s="1"/>
      <c r="E52" s="460"/>
      <c r="F52" s="461"/>
      <c r="G52" s="461"/>
      <c r="H52" s="461"/>
      <c r="I52" s="462"/>
      <c r="J52" s="99" t="s">
        <v>99</v>
      </c>
      <c r="K52" s="110"/>
      <c r="L52" s="466">
        <f>SUMIF($U$12:$U$40,"anm",$P$12:$P$40)</f>
        <v>23267832.241368238</v>
      </c>
      <c r="M52" s="467"/>
      <c r="N52" s="111"/>
      <c r="O52" s="111"/>
      <c r="P52" s="112">
        <f>SUMIF($U$12:$U$39,"ANM",$U$12:$U$39)</f>
        <v>0</v>
      </c>
      <c r="Q52" s="468"/>
      <c r="R52" s="469"/>
      <c r="S52" s="470" t="s">
        <v>99</v>
      </c>
      <c r="T52" s="470"/>
      <c r="U52" s="114">
        <f>SUMIF($U$11:$U$40,"SGR",$P$11:$P$40)</f>
        <v>20529131.255063761</v>
      </c>
    </row>
    <row r="53" spans="1:21" ht="15.75">
      <c r="A53" s="1" t="s">
        <v>103</v>
      </c>
      <c r="B53" s="1"/>
      <c r="C53" s="1"/>
      <c r="D53" s="1"/>
      <c r="E53" s="460"/>
      <c r="F53" s="461"/>
      <c r="G53" s="461"/>
      <c r="H53" s="461"/>
      <c r="I53" s="462"/>
      <c r="J53" s="99" t="s">
        <v>104</v>
      </c>
      <c r="K53" s="113"/>
      <c r="L53" s="466">
        <f>SUMIF($U$12:$U$40,"anm",$O$12:$O$40)</f>
        <v>58454</v>
      </c>
      <c r="M53" s="467"/>
      <c r="N53" s="115"/>
      <c r="O53" s="115"/>
      <c r="P53" s="112"/>
      <c r="Q53" s="468"/>
      <c r="R53" s="469"/>
      <c r="S53" s="471" t="s">
        <v>104</v>
      </c>
      <c r="T53" s="472"/>
      <c r="U53" s="114">
        <f>SUMIF($U$12:$U$40,"SGR",$O$12:$O$40)</f>
        <v>60513</v>
      </c>
    </row>
    <row r="54" spans="1:21" ht="15.75">
      <c r="A54" s="1" t="s">
        <v>105</v>
      </c>
      <c r="B54" s="1"/>
      <c r="C54" s="1"/>
      <c r="D54" s="1"/>
      <c r="E54" s="460"/>
      <c r="F54" s="461"/>
      <c r="G54" s="461"/>
      <c r="H54" s="461"/>
      <c r="I54" s="462"/>
      <c r="J54" s="99" t="s">
        <v>100</v>
      </c>
      <c r="K54" s="110"/>
      <c r="L54" s="475">
        <f>L51+L52+L53</f>
        <v>265013154.12097126</v>
      </c>
      <c r="M54" s="476"/>
      <c r="N54" s="115"/>
      <c r="O54" s="115"/>
      <c r="P54" s="112">
        <f>SUMIF($U$12:$U$39,"ANM",$U$12:$U$39)</f>
        <v>0</v>
      </c>
      <c r="Q54" s="468"/>
      <c r="R54" s="469"/>
      <c r="S54" s="470" t="s">
        <v>100</v>
      </c>
      <c r="T54" s="470"/>
      <c r="U54" s="100">
        <f>U51+U52+U53</f>
        <v>232511934.81836081</v>
      </c>
    </row>
    <row r="55" spans="1:21" ht="15.75">
      <c r="A55" s="1" t="s">
        <v>106</v>
      </c>
      <c r="B55" s="1"/>
      <c r="C55" s="1"/>
      <c r="D55" s="1"/>
      <c r="E55" s="463"/>
      <c r="F55" s="464"/>
      <c r="G55" s="464"/>
      <c r="H55" s="464"/>
      <c r="I55" s="465"/>
      <c r="J55" s="99" t="s">
        <v>101</v>
      </c>
      <c r="K55" s="110"/>
      <c r="L55" s="477">
        <f>SUMIF($U$12:$U$40,"anm",$S$12:$S$40)</f>
        <v>5035249.9282984529</v>
      </c>
      <c r="M55" s="478"/>
      <c r="N55" s="115"/>
      <c r="O55" s="115"/>
      <c r="P55" s="116"/>
      <c r="Q55" s="468"/>
      <c r="R55" s="469"/>
      <c r="S55" s="471" t="s">
        <v>101</v>
      </c>
      <c r="T55" s="472"/>
      <c r="U55" s="100">
        <f>SUMIF($U$9:$U$40,"SGR",$S$9:$S$40)</f>
        <v>4417726.7615488553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52" t="s">
        <v>4</v>
      </c>
      <c r="K56" s="453"/>
      <c r="L56" s="118">
        <f>L54+L55</f>
        <v>270048404.04926974</v>
      </c>
      <c r="M56" s="119"/>
      <c r="N56" s="120"/>
      <c r="O56" s="120"/>
      <c r="P56" s="121"/>
      <c r="Q56" s="122"/>
      <c r="R56" s="123"/>
      <c r="S56" s="454" t="s">
        <v>4</v>
      </c>
      <c r="T56" s="455"/>
      <c r="U56" s="182">
        <f>(U54+U55)</f>
        <v>236929661.57990965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107</v>
      </c>
      <c r="K57" s="125"/>
      <c r="L57" s="126"/>
      <c r="M57" s="127"/>
      <c r="N57" s="128"/>
      <c r="O57" s="128"/>
      <c r="P57" s="129"/>
      <c r="Q57" s="130"/>
      <c r="R57" s="130"/>
      <c r="S57" s="473" t="s">
        <v>107</v>
      </c>
      <c r="T57" s="474"/>
      <c r="U57" s="183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29"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">
    <cfRule type="containsText" dxfId="32" priority="5" operator="containsText" text=" lunes a viernes (sin festivos)">
      <formula>NOT(ISERROR(SEARCH(" lunes a viernes (sin festivos)",C4)))</formula>
    </cfRule>
  </conditionalFormatting>
  <conditionalFormatting sqref="D1:D7">
    <cfRule type="containsText" dxfId="31" priority="3" operator="containsText" text=" lunes a viernes (sin festivos)">
      <formula>NOT(ISERROR(SEARCH(" lunes a viernes (sin festivos)",D1)))</formula>
    </cfRule>
  </conditionalFormatting>
  <conditionalFormatting sqref="D9:D21">
    <cfRule type="containsText" dxfId="30" priority="1" operator="containsText" text=" lunes a viernes (sin festivos)">
      <formula>NOT(ISERROR(SEARCH(" lunes a viernes (sin festivos)",D9)))</formula>
    </cfRule>
  </conditionalFormatting>
  <conditionalFormatting sqref="D23:D1048576">
    <cfRule type="containsText" dxfId="29" priority="2" operator="containsText" text=" lunes a viernes (sin festivos)">
      <formula>NOT(ISERROR(SEARCH(" lunes a viernes (sin festivos)",D23)))</formula>
    </cfRule>
  </conditionalFormatting>
  <conditionalFormatting sqref="E9">
    <cfRule type="containsText" dxfId="28" priority="6" operator="containsText" text=" lunes a viernes (sin festivos)">
      <formula>NOT(ISERROR(SEARCH(" lunes a viernes (sin festivos)",E9)))</formula>
    </cfRule>
  </conditionalFormatting>
  <conditionalFormatting sqref="U1:U41 O11">
    <cfRule type="cellIs" dxfId="27" priority="4" operator="equal">
      <formula>"SGR"</formula>
    </cfRule>
  </conditionalFormatting>
  <conditionalFormatting sqref="U43:U50 U58:U1048576">
    <cfRule type="cellIs" dxfId="26" priority="7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69"/>
  <sheetViews>
    <sheetView showGridLines="0" topLeftCell="A18" zoomScale="60" zoomScaleNormal="60" workbookViewId="0">
      <selection activeCell="O39" sqref="O39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22.2851562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15.140625" style="151" customWidth="1"/>
    <col min="12" max="12" width="28.140625" style="152" customWidth="1"/>
    <col min="13" max="13" width="22" style="152" customWidth="1"/>
    <col min="14" max="14" width="15.42578125" style="86" customWidth="1"/>
    <col min="15" max="15" width="14" style="86" customWidth="1"/>
    <col min="16" max="16" width="19.85546875" style="153" customWidth="1"/>
    <col min="17" max="17" width="21.85546875" style="154" customWidth="1"/>
    <col min="18" max="18" width="19.140625" style="154" customWidth="1"/>
    <col min="19" max="19" width="17" style="154" customWidth="1"/>
    <col min="20" max="20" width="23.140625" style="155" customWidth="1"/>
    <col min="21" max="21" width="23.85546875" style="155" customWidth="1"/>
    <col min="22" max="16384" width="25.7109375" style="2"/>
  </cols>
  <sheetData>
    <row r="1" spans="1:24" ht="15.75">
      <c r="A1" s="1"/>
      <c r="B1" s="444" t="s">
        <v>22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</row>
    <row r="2" spans="1:24" ht="15.75">
      <c r="A2" s="1"/>
      <c r="B2" s="3"/>
      <c r="C2" s="4"/>
      <c r="D2" s="445" t="s">
        <v>23</v>
      </c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5"/>
      <c r="Q2" s="6"/>
      <c r="R2" s="7"/>
      <c r="S2" s="4"/>
      <c r="T2" s="4"/>
      <c r="U2" s="4"/>
    </row>
    <row r="3" spans="1:24" ht="15.75">
      <c r="A3" s="1"/>
      <c r="B3" s="3"/>
      <c r="C3" s="4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5"/>
      <c r="Q3" s="6"/>
      <c r="R3" s="8"/>
      <c r="S3" s="4"/>
      <c r="T3" s="4"/>
      <c r="U3" s="4"/>
    </row>
    <row r="4" spans="1:24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4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4" ht="15.75">
      <c r="A6" s="1"/>
      <c r="B6" s="13"/>
      <c r="C6" s="13"/>
      <c r="D6" s="9" t="s">
        <v>24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25</v>
      </c>
      <c r="Q6" s="19"/>
      <c r="R6" s="24"/>
      <c r="S6" s="21"/>
      <c r="T6" s="21"/>
      <c r="U6" s="21"/>
    </row>
    <row r="7" spans="1:24" ht="15.75">
      <c r="A7" s="1"/>
      <c r="B7" s="13"/>
      <c r="C7" s="13"/>
      <c r="D7" s="9" t="s">
        <v>26</v>
      </c>
      <c r="E7" s="272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4" ht="15.75">
      <c r="A8" s="1"/>
      <c r="B8" s="13"/>
      <c r="C8" s="13"/>
      <c r="D8" s="27" t="s">
        <v>27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28</v>
      </c>
      <c r="P8" s="17"/>
      <c r="Q8" s="30" t="s">
        <v>29</v>
      </c>
      <c r="R8" s="21"/>
      <c r="S8" s="21"/>
      <c r="T8" s="21"/>
      <c r="U8" s="21"/>
    </row>
    <row r="9" spans="1:24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30</v>
      </c>
      <c r="P9" s="17"/>
      <c r="Q9" s="30" t="s">
        <v>31</v>
      </c>
      <c r="R9" s="21"/>
      <c r="S9" s="21"/>
      <c r="T9" s="21"/>
      <c r="U9" s="21"/>
    </row>
    <row r="10" spans="1:24" ht="15.75">
      <c r="A10" s="1"/>
      <c r="B10" s="446" t="s">
        <v>32</v>
      </c>
      <c r="C10" s="446"/>
      <c r="D10" s="446"/>
      <c r="E10" s="446"/>
      <c r="F10" s="446"/>
      <c r="G10" s="446"/>
      <c r="H10" s="446"/>
      <c r="I10" s="446"/>
      <c r="J10" s="446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31"/>
    </row>
    <row r="11" spans="1:24" s="33" customFormat="1" ht="45.75" customHeight="1">
      <c r="A11" s="32"/>
      <c r="B11" s="173" t="s">
        <v>33</v>
      </c>
      <c r="C11" s="174" t="s">
        <v>34</v>
      </c>
      <c r="D11" s="174" t="s">
        <v>35</v>
      </c>
      <c r="E11" s="174" t="s">
        <v>36</v>
      </c>
      <c r="F11" s="174" t="s">
        <v>37</v>
      </c>
      <c r="G11" s="174" t="s">
        <v>38</v>
      </c>
      <c r="H11" s="174" t="s">
        <v>39</v>
      </c>
      <c r="I11" s="174" t="s">
        <v>40</v>
      </c>
      <c r="J11" s="174" t="s">
        <v>41</v>
      </c>
      <c r="K11" s="175" t="s">
        <v>26</v>
      </c>
      <c r="L11" s="176" t="s">
        <v>42</v>
      </c>
      <c r="M11" s="177" t="s">
        <v>43</v>
      </c>
      <c r="N11" s="178" t="s">
        <v>26</v>
      </c>
      <c r="O11" s="179" t="s">
        <v>44</v>
      </c>
      <c r="P11" s="177" t="s">
        <v>45</v>
      </c>
      <c r="Q11" s="177" t="s">
        <v>43</v>
      </c>
      <c r="R11" s="177" t="s">
        <v>46</v>
      </c>
      <c r="S11" s="177" t="s">
        <v>47</v>
      </c>
      <c r="T11" s="177" t="s">
        <v>4</v>
      </c>
      <c r="U11" s="179" t="s">
        <v>48</v>
      </c>
      <c r="X11" s="192">
        <v>0.03</v>
      </c>
    </row>
    <row r="12" spans="1:24" s="43" customFormat="1" ht="39" customHeight="1">
      <c r="A12" s="34"/>
      <c r="B12" s="447" t="s">
        <v>49</v>
      </c>
      <c r="C12" s="164">
        <v>2</v>
      </c>
      <c r="D12" s="165" t="s">
        <v>50</v>
      </c>
      <c r="E12" s="166" t="s">
        <v>51</v>
      </c>
      <c r="F12" s="166" t="s">
        <v>52</v>
      </c>
      <c r="G12" s="166">
        <v>11</v>
      </c>
      <c r="H12" s="166" t="s">
        <v>29</v>
      </c>
      <c r="I12" s="167">
        <v>13</v>
      </c>
      <c r="J12" s="415">
        <v>22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10558076.014002001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844646.08112016006</v>
      </c>
      <c r="Q12" s="170">
        <f>+M12+O12+P12</f>
        <v>11404720.09512216</v>
      </c>
      <c r="R12" s="170">
        <f>+Q12*10%</f>
        <v>1140472.0095122161</v>
      </c>
      <c r="S12" s="170">
        <f>+R12*19%</f>
        <v>216689.68180732106</v>
      </c>
      <c r="T12" s="170">
        <f>+Q12+S12</f>
        <v>11621409.776929481</v>
      </c>
      <c r="U12" s="172" t="s">
        <v>53</v>
      </c>
      <c r="W12" s="187">
        <v>2750</v>
      </c>
      <c r="X12" s="187">
        <f>(W12*$X$11)+W12</f>
        <v>2832.5</v>
      </c>
    </row>
    <row r="13" spans="1:24" s="43" customFormat="1" ht="39" customHeight="1">
      <c r="A13" s="34"/>
      <c r="B13" s="448"/>
      <c r="C13" s="164">
        <v>2</v>
      </c>
      <c r="D13" s="165" t="s">
        <v>54</v>
      </c>
      <c r="E13" s="166" t="s">
        <v>51</v>
      </c>
      <c r="F13" s="166" t="s">
        <v>52</v>
      </c>
      <c r="G13" s="166">
        <v>1</v>
      </c>
      <c r="H13" s="166" t="s">
        <v>31</v>
      </c>
      <c r="I13" s="167">
        <v>11</v>
      </c>
      <c r="J13" s="415">
        <v>22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1249226.594694</v>
      </c>
      <c r="N13" s="41">
        <f t="shared" ref="N13:N40" si="1">+IF(E13="SIN ARMA",8%,IF(E13="CON ARMA",10%,0))</f>
        <v>0.08</v>
      </c>
      <c r="O13" s="180">
        <f>+'ESTUDIO DE MERCADO_SEGURO'!$M8</f>
        <v>1548</v>
      </c>
      <c r="P13" s="40">
        <f t="shared" ref="P13:P40" si="2">+M13*N13</f>
        <v>99938.127575520004</v>
      </c>
      <c r="Q13" s="40">
        <f>+M13+O13+P13</f>
        <v>1350712.7222695199</v>
      </c>
      <c r="R13" s="40">
        <f t="shared" ref="R13:R40" si="3">+Q13*10%</f>
        <v>135071.27222695199</v>
      </c>
      <c r="S13" s="40">
        <f t="shared" ref="S13:S40" si="4">+R13*19%</f>
        <v>25663.541723120878</v>
      </c>
      <c r="T13" s="40">
        <f>+Q13+S13</f>
        <v>1376376.2639926409</v>
      </c>
      <c r="U13" s="42" t="s">
        <v>53</v>
      </c>
      <c r="W13" s="187">
        <v>1375</v>
      </c>
      <c r="X13" s="187">
        <f t="shared" ref="X13:X40" si="5">(W13*$X$11)+W13</f>
        <v>1416.25</v>
      </c>
    </row>
    <row r="14" spans="1:24" s="43" customFormat="1" ht="39" customHeight="1">
      <c r="A14" s="34"/>
      <c r="B14" s="448"/>
      <c r="C14" s="35">
        <v>1</v>
      </c>
      <c r="D14" s="165" t="s">
        <v>55</v>
      </c>
      <c r="E14" s="37" t="s">
        <v>51</v>
      </c>
      <c r="F14" s="37" t="s">
        <v>52</v>
      </c>
      <c r="G14" s="37">
        <f t="shared" ref="G14:G16" si="6">IF(F14="24 HORAS",24,IF(F14="12 HORAS",12,0))</f>
        <v>12</v>
      </c>
      <c r="H14" s="37" t="s">
        <v>29</v>
      </c>
      <c r="I14" s="157">
        <v>13</v>
      </c>
      <c r="J14" s="162">
        <v>22</v>
      </c>
      <c r="K14" s="160">
        <f t="shared" ref="K14:K19" si="7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5758950.5530920001</v>
      </c>
      <c r="N14" s="41">
        <f t="shared" si="1"/>
        <v>0.08</v>
      </c>
      <c r="O14" s="180">
        <f>+'ESTUDIO DE MERCADO_SEGURO'!$M9</f>
        <v>1548</v>
      </c>
      <c r="P14" s="40">
        <f t="shared" si="2"/>
        <v>460716.04424736003</v>
      </c>
      <c r="Q14" s="40">
        <f t="shared" ref="Q14:Q40" si="8">+M14+O14+P14</f>
        <v>6221214.59733936</v>
      </c>
      <c r="R14" s="40">
        <f t="shared" si="3"/>
        <v>622121.459733936</v>
      </c>
      <c r="S14" s="40">
        <f t="shared" si="4"/>
        <v>118203.07734944785</v>
      </c>
      <c r="T14" s="40">
        <f t="shared" ref="T14:T40" si="9">+Q14+S14</f>
        <v>6339417.6746888077</v>
      </c>
      <c r="U14" s="42" t="s">
        <v>53</v>
      </c>
      <c r="W14" s="187">
        <v>1375</v>
      </c>
      <c r="X14" s="187">
        <f t="shared" si="5"/>
        <v>1416.25</v>
      </c>
    </row>
    <row r="15" spans="1:24" s="43" customFormat="1" ht="39" customHeight="1">
      <c r="A15" s="34"/>
      <c r="B15" s="448"/>
      <c r="C15" s="35">
        <v>1</v>
      </c>
      <c r="D15" s="165" t="s">
        <v>56</v>
      </c>
      <c r="E15" s="37" t="s">
        <v>51</v>
      </c>
      <c r="F15" s="37" t="s">
        <v>52</v>
      </c>
      <c r="G15" s="37">
        <f t="shared" si="6"/>
        <v>12</v>
      </c>
      <c r="H15" s="37" t="s">
        <v>29</v>
      </c>
      <c r="I15" s="157">
        <v>13</v>
      </c>
      <c r="J15" s="162">
        <v>22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0">IF(H15="N/a",(((K15*L15)/30))*J15*C15,(((K15*L15)/30)/I15)*G15*J15*C15)</f>
        <v>5758950.5530920001</v>
      </c>
      <c r="N15" s="41">
        <f t="shared" si="1"/>
        <v>0.08</v>
      </c>
      <c r="O15" s="180">
        <f>+'ESTUDIO DE MERCADO_SEGURO'!$M10</f>
        <v>1548</v>
      </c>
      <c r="P15" s="40">
        <f t="shared" si="2"/>
        <v>460716.04424736003</v>
      </c>
      <c r="Q15" s="40">
        <f t="shared" si="8"/>
        <v>6221214.59733936</v>
      </c>
      <c r="R15" s="40">
        <f t="shared" si="3"/>
        <v>622121.459733936</v>
      </c>
      <c r="S15" s="40">
        <f t="shared" si="4"/>
        <v>118203.07734944785</v>
      </c>
      <c r="T15" s="40">
        <f t="shared" si="9"/>
        <v>6339417.6746888077</v>
      </c>
      <c r="U15" s="42" t="s">
        <v>53</v>
      </c>
      <c r="W15" s="187">
        <v>1375</v>
      </c>
      <c r="X15" s="187">
        <f t="shared" si="5"/>
        <v>1416.25</v>
      </c>
    </row>
    <row r="16" spans="1:24" s="50" customFormat="1" ht="39" customHeight="1">
      <c r="A16" s="45"/>
      <c r="B16" s="448"/>
      <c r="C16" s="35">
        <v>1</v>
      </c>
      <c r="D16" s="165" t="s">
        <v>57</v>
      </c>
      <c r="E16" s="37" t="s">
        <v>51</v>
      </c>
      <c r="F16" s="37" t="s">
        <v>52</v>
      </c>
      <c r="G16" s="37">
        <f t="shared" si="6"/>
        <v>12</v>
      </c>
      <c r="H16" s="37" t="s">
        <v>29</v>
      </c>
      <c r="I16" s="157">
        <v>13</v>
      </c>
      <c r="J16" s="162">
        <v>22</v>
      </c>
      <c r="K16" s="160">
        <f t="shared" si="7"/>
        <v>17876740.050000001</v>
      </c>
      <c r="L16" s="169">
        <f t="shared" si="0"/>
        <v>0.47590000000000005</v>
      </c>
      <c r="M16" s="40">
        <f t="shared" si="10"/>
        <v>5758950.5530920001</v>
      </c>
      <c r="N16" s="47">
        <f t="shared" si="1"/>
        <v>0.08</v>
      </c>
      <c r="O16" s="180">
        <f>+'ESTUDIO DE MERCADO_SEGURO'!$M11</f>
        <v>2547</v>
      </c>
      <c r="P16" s="46">
        <f t="shared" si="2"/>
        <v>460716.04424736003</v>
      </c>
      <c r="Q16" s="48">
        <f t="shared" si="8"/>
        <v>6222213.59733936</v>
      </c>
      <c r="R16" s="46">
        <f t="shared" si="3"/>
        <v>622221.35973393603</v>
      </c>
      <c r="S16" s="46">
        <f t="shared" si="4"/>
        <v>118222.05834944785</v>
      </c>
      <c r="T16" s="46">
        <f t="shared" si="9"/>
        <v>6340435.6556888083</v>
      </c>
      <c r="U16" s="49" t="s">
        <v>53</v>
      </c>
      <c r="W16" s="188">
        <v>1875</v>
      </c>
      <c r="X16" s="187">
        <f t="shared" si="5"/>
        <v>1931.25</v>
      </c>
    </row>
    <row r="17" spans="1:24" s="50" customFormat="1" ht="39" customHeight="1">
      <c r="A17" s="45"/>
      <c r="B17" s="448"/>
      <c r="C17" s="35">
        <v>1</v>
      </c>
      <c r="D17" s="165" t="s">
        <v>58</v>
      </c>
      <c r="E17" s="38" t="s">
        <v>51</v>
      </c>
      <c r="F17" s="38" t="s">
        <v>59</v>
      </c>
      <c r="G17" s="38">
        <v>13</v>
      </c>
      <c r="H17" s="38" t="s">
        <v>29</v>
      </c>
      <c r="I17" s="157">
        <v>13</v>
      </c>
      <c r="J17" s="162">
        <v>30</v>
      </c>
      <c r="K17" s="160">
        <f t="shared" si="7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8657540.5897950009</v>
      </c>
      <c r="N17" s="47">
        <f t="shared" si="1"/>
        <v>0.08</v>
      </c>
      <c r="O17" s="180">
        <f>+'ESTUDIO DE MERCADO_SEGURO'!$M12</f>
        <v>1037</v>
      </c>
      <c r="P17" s="46">
        <f t="shared" si="2"/>
        <v>692603.24718360009</v>
      </c>
      <c r="Q17" s="48">
        <f t="shared" si="8"/>
        <v>9351180.8369786013</v>
      </c>
      <c r="R17" s="46">
        <f t="shared" si="3"/>
        <v>935118.08369786013</v>
      </c>
      <c r="S17" s="46">
        <f t="shared" si="4"/>
        <v>177672.43590259342</v>
      </c>
      <c r="T17" s="46">
        <f t="shared" si="9"/>
        <v>9528853.2728811949</v>
      </c>
      <c r="U17" s="49" t="s">
        <v>53</v>
      </c>
      <c r="W17" s="188">
        <v>625</v>
      </c>
      <c r="X17" s="187">
        <f t="shared" si="5"/>
        <v>643.75</v>
      </c>
    </row>
    <row r="18" spans="1:24" s="50" customFormat="1" ht="39" customHeight="1">
      <c r="A18" s="45"/>
      <c r="B18" s="448"/>
      <c r="C18" s="35">
        <v>1</v>
      </c>
      <c r="D18" s="165" t="s">
        <v>60</v>
      </c>
      <c r="E18" s="38" t="s">
        <v>51</v>
      </c>
      <c r="F18" s="38" t="s">
        <v>61</v>
      </c>
      <c r="G18" s="38">
        <v>11</v>
      </c>
      <c r="H18" s="38" t="s">
        <v>31</v>
      </c>
      <c r="I18" s="157">
        <v>11</v>
      </c>
      <c r="J18" s="162">
        <v>30</v>
      </c>
      <c r="K18" s="160">
        <f t="shared" si="7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9519199.4602049999</v>
      </c>
      <c r="N18" s="47">
        <f t="shared" si="1"/>
        <v>0.08</v>
      </c>
      <c r="O18" s="180">
        <f>+'ESTUDIO DE MERCADO_SEGURO'!$M13</f>
        <v>2865</v>
      </c>
      <c r="P18" s="46">
        <f t="shared" si="2"/>
        <v>761535.95681640005</v>
      </c>
      <c r="Q18" s="48">
        <f t="shared" si="8"/>
        <v>10283600.417021399</v>
      </c>
      <c r="R18" s="46">
        <f t="shared" si="3"/>
        <v>1028360.04170214</v>
      </c>
      <c r="S18" s="46">
        <f t="shared" si="4"/>
        <v>195388.4079234066</v>
      </c>
      <c r="T18" s="46">
        <f t="shared" si="9"/>
        <v>10478988.824944805</v>
      </c>
      <c r="U18" s="42" t="s">
        <v>3</v>
      </c>
      <c r="W18" s="188">
        <v>1875</v>
      </c>
      <c r="X18" s="187">
        <f t="shared" si="5"/>
        <v>1931.25</v>
      </c>
    </row>
    <row r="19" spans="1:24" s="50" customFormat="1" ht="39" customHeight="1">
      <c r="A19" s="45"/>
      <c r="B19" s="448"/>
      <c r="C19" s="35">
        <v>1</v>
      </c>
      <c r="D19" s="165" t="s">
        <v>62</v>
      </c>
      <c r="E19" s="38" t="s">
        <v>51</v>
      </c>
      <c r="F19" s="38" t="s">
        <v>52</v>
      </c>
      <c r="G19" s="38">
        <v>12</v>
      </c>
      <c r="H19" s="38" t="s">
        <v>29</v>
      </c>
      <c r="I19" s="157">
        <v>13</v>
      </c>
      <c r="J19" s="162">
        <v>26</v>
      </c>
      <c r="K19" s="160">
        <f t="shared" si="7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7301032.4718359997</v>
      </c>
      <c r="N19" s="53">
        <f t="shared" si="1"/>
        <v>0.08</v>
      </c>
      <c r="O19" s="180">
        <f>+'ESTUDIO DE MERCADO_SEGURO'!$M14</f>
        <v>2328</v>
      </c>
      <c r="P19" s="52">
        <f>+M19*N19</f>
        <v>584082.59774688003</v>
      </c>
      <c r="Q19" s="52">
        <f t="shared" si="8"/>
        <v>7887443.0695828795</v>
      </c>
      <c r="R19" s="52">
        <f>+Q19*10%</f>
        <v>788744.30695828795</v>
      </c>
      <c r="S19" s="52">
        <f t="shared" si="4"/>
        <v>149861.41832207472</v>
      </c>
      <c r="T19" s="52">
        <f t="shared" si="9"/>
        <v>8037304.4879049547</v>
      </c>
      <c r="U19" s="54" t="s">
        <v>53</v>
      </c>
      <c r="W19" s="188">
        <v>1250.0000000000007</v>
      </c>
      <c r="X19" s="187">
        <f t="shared" si="5"/>
        <v>1287.5000000000007</v>
      </c>
    </row>
    <row r="20" spans="1:24" s="43" customFormat="1" ht="39" customHeight="1">
      <c r="A20" s="34"/>
      <c r="B20" s="61" t="s">
        <v>63</v>
      </c>
      <c r="C20" s="35">
        <v>1</v>
      </c>
      <c r="D20" s="36" t="s">
        <v>64</v>
      </c>
      <c r="E20" s="37" t="s">
        <v>65</v>
      </c>
      <c r="F20" s="37" t="s">
        <v>66</v>
      </c>
      <c r="G20" s="37">
        <f t="shared" ref="G20:G40" si="11">IF(F20="24 HORAS",24,IF(F20="12 HORAS",12,0))</f>
        <v>24</v>
      </c>
      <c r="H20" s="37" t="s">
        <v>67</v>
      </c>
      <c r="I20" s="157">
        <f>IF(H20="N/A",1,IF(H20="NOCTURNO",9,IF(H20="DIURNO",15,0)))</f>
        <v>1</v>
      </c>
      <c r="J20" s="161">
        <v>30</v>
      </c>
      <c r="K20" s="160">
        <f t="shared" ref="K20:K40" si="12">+$E$6*$E$7</f>
        <v>17876740.050000001</v>
      </c>
      <c r="L20" s="39">
        <f t="shared" ref="L20:L40" si="13">+IF(F20="12 HORAS",IF(H20="DIURNO",55.97%,0),0)+IF(F20="12 HORAS",IF(H20="NOCTURNO",44.03%,0),1)</f>
        <v>1</v>
      </c>
      <c r="M20" s="44">
        <f t="shared" ref="M20:M40" si="14">IF(H20="N/a",(((K20*L20)/30))*J20*C20,(((K20*L20)/30)/I20)*G20*J20*C20)</f>
        <v>17876740.050000001</v>
      </c>
      <c r="N20" s="41">
        <f t="shared" si="1"/>
        <v>0.1</v>
      </c>
      <c r="O20" s="180">
        <f>+'ESTUDIO DE MERCADO_SEGURO'!$M15</f>
        <v>5100</v>
      </c>
      <c r="P20" s="40">
        <f t="shared" si="2"/>
        <v>1787674.0050000001</v>
      </c>
      <c r="Q20" s="40">
        <f t="shared" si="8"/>
        <v>19669514.055</v>
      </c>
      <c r="R20" s="40">
        <f t="shared" si="3"/>
        <v>1966951.4055000001</v>
      </c>
      <c r="S20" s="40">
        <f t="shared" si="4"/>
        <v>373720.76704500004</v>
      </c>
      <c r="T20" s="40">
        <f t="shared" si="9"/>
        <v>20043234.822044998</v>
      </c>
      <c r="U20" s="42" t="s">
        <v>53</v>
      </c>
      <c r="W20" s="187">
        <v>3750</v>
      </c>
      <c r="X20" s="187">
        <f t="shared" si="5"/>
        <v>3862.5</v>
      </c>
    </row>
    <row r="21" spans="1:24" s="57" customFormat="1" ht="39" customHeight="1">
      <c r="A21" s="1"/>
      <c r="B21" s="61" t="s">
        <v>68</v>
      </c>
      <c r="C21" s="35">
        <v>1</v>
      </c>
      <c r="D21" s="55" t="s">
        <v>69</v>
      </c>
      <c r="E21" s="38" t="s">
        <v>65</v>
      </c>
      <c r="F21" s="38" t="s">
        <v>66</v>
      </c>
      <c r="G21" s="38">
        <f t="shared" si="11"/>
        <v>24</v>
      </c>
      <c r="H21" s="37" t="s">
        <v>67</v>
      </c>
      <c r="I21" s="157">
        <f t="shared" ref="I21:I40" si="15">IF(H21="N/A",1,IF(H21="NOCTURNO",9,IF(H21="DIURNO",15,0)))</f>
        <v>1</v>
      </c>
      <c r="J21" s="161">
        <v>30</v>
      </c>
      <c r="K21" s="160">
        <f t="shared" si="12"/>
        <v>17876740.050000001</v>
      </c>
      <c r="L21" s="51">
        <f t="shared" si="13"/>
        <v>1</v>
      </c>
      <c r="M21" s="56">
        <f t="shared" si="14"/>
        <v>17876740.050000001</v>
      </c>
      <c r="N21" s="53">
        <f t="shared" si="1"/>
        <v>0.1</v>
      </c>
      <c r="O21" s="180">
        <f>+'ESTUDIO DE MERCADO_SEGURO'!$M16</f>
        <v>5100</v>
      </c>
      <c r="P21" s="52">
        <f t="shared" si="2"/>
        <v>1787674.0050000001</v>
      </c>
      <c r="Q21" s="40">
        <f t="shared" si="8"/>
        <v>19669514.055</v>
      </c>
      <c r="R21" s="52">
        <f t="shared" si="3"/>
        <v>1966951.4055000001</v>
      </c>
      <c r="S21" s="52">
        <f t="shared" si="4"/>
        <v>373720.76704500004</v>
      </c>
      <c r="T21" s="52">
        <f t="shared" si="9"/>
        <v>20043234.822044998</v>
      </c>
      <c r="U21" s="42" t="s">
        <v>53</v>
      </c>
      <c r="W21" s="189">
        <v>3750</v>
      </c>
      <c r="X21" s="187">
        <f t="shared" si="5"/>
        <v>3862.5</v>
      </c>
    </row>
    <row r="22" spans="1:24" s="57" customFormat="1" ht="39" customHeight="1">
      <c r="A22" s="1"/>
      <c r="B22" s="60" t="s">
        <v>70</v>
      </c>
      <c r="C22" s="35">
        <v>1</v>
      </c>
      <c r="D22" s="163" t="s">
        <v>71</v>
      </c>
      <c r="E22" s="58" t="s">
        <v>51</v>
      </c>
      <c r="F22" s="58" t="s">
        <v>52</v>
      </c>
      <c r="G22" s="58">
        <f>IF(F22="24 HORAS",24,IF(F22="12 HORAS",12,0))</f>
        <v>12</v>
      </c>
      <c r="H22" s="58" t="s">
        <v>29</v>
      </c>
      <c r="I22" s="158">
        <v>13</v>
      </c>
      <c r="J22" s="161">
        <v>22</v>
      </c>
      <c r="K22" s="160">
        <f t="shared" si="12"/>
        <v>17876740.050000001</v>
      </c>
      <c r="L22" s="169">
        <f t="shared" ref="L22" si="16">IF(H22="DIURNO",47.59%,IF(H22="NOCTURNO",52.41%,0))</f>
        <v>0.47590000000000005</v>
      </c>
      <c r="M22" s="44">
        <f>IF(H22="N/a",(((K22*L22)/30))*J22*C22,(((K22*L22)/30)/I22)*G22*J22*C22)</f>
        <v>5758950.5530920001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460716.04424736003</v>
      </c>
      <c r="Q22" s="40">
        <f>+M22+O22+P22</f>
        <v>6221214.59733936</v>
      </c>
      <c r="R22" s="44">
        <f>+Q22*10%</f>
        <v>622121.459733936</v>
      </c>
      <c r="S22" s="44">
        <f>+R22*19%</f>
        <v>118203.07734944785</v>
      </c>
      <c r="T22" s="44">
        <f>+Q22+S22</f>
        <v>6339417.6746888077</v>
      </c>
      <c r="U22" s="42" t="s">
        <v>3</v>
      </c>
      <c r="W22" s="189">
        <v>1081.3</v>
      </c>
      <c r="X22" s="187">
        <f t="shared" si="5"/>
        <v>1113.739</v>
      </c>
    </row>
    <row r="23" spans="1:24" s="57" customFormat="1" ht="39" customHeight="1">
      <c r="A23" s="1"/>
      <c r="B23" s="60" t="s">
        <v>72</v>
      </c>
      <c r="C23" s="35">
        <v>1</v>
      </c>
      <c r="D23" s="36" t="s">
        <v>73</v>
      </c>
      <c r="E23" s="37" t="s">
        <v>65</v>
      </c>
      <c r="F23" s="37" t="s">
        <v>66</v>
      </c>
      <c r="G23" s="37">
        <f t="shared" si="11"/>
        <v>24</v>
      </c>
      <c r="H23" s="37" t="s">
        <v>67</v>
      </c>
      <c r="I23" s="157">
        <f t="shared" si="15"/>
        <v>1</v>
      </c>
      <c r="J23" s="161">
        <v>30</v>
      </c>
      <c r="K23" s="160">
        <f t="shared" si="12"/>
        <v>17876740.050000001</v>
      </c>
      <c r="L23" s="39">
        <f t="shared" si="13"/>
        <v>1</v>
      </c>
      <c r="M23" s="40">
        <f t="shared" si="14"/>
        <v>17876740.050000001</v>
      </c>
      <c r="N23" s="41">
        <f t="shared" si="1"/>
        <v>0.1</v>
      </c>
      <c r="O23" s="180">
        <f>+'ESTUDIO DE MERCADO_SEGURO'!$M18</f>
        <v>5100</v>
      </c>
      <c r="P23" s="40">
        <f t="shared" si="2"/>
        <v>1787674.0050000001</v>
      </c>
      <c r="Q23" s="40">
        <f t="shared" si="8"/>
        <v>19669514.055</v>
      </c>
      <c r="R23" s="40">
        <f t="shared" si="3"/>
        <v>1966951.4055000001</v>
      </c>
      <c r="S23" s="40">
        <f t="shared" si="4"/>
        <v>373720.76704500004</v>
      </c>
      <c r="T23" s="40">
        <f t="shared" si="9"/>
        <v>20043234.822044998</v>
      </c>
      <c r="U23" s="42" t="s">
        <v>3</v>
      </c>
      <c r="W23" s="189">
        <v>3750</v>
      </c>
      <c r="X23" s="187">
        <f t="shared" si="5"/>
        <v>3862.5</v>
      </c>
    </row>
    <row r="24" spans="1:24" s="43" customFormat="1" ht="39" customHeight="1">
      <c r="A24" s="34"/>
      <c r="B24" s="61" t="s">
        <v>74</v>
      </c>
      <c r="C24" s="35">
        <v>1</v>
      </c>
      <c r="D24" s="55" t="s">
        <v>75</v>
      </c>
      <c r="E24" s="38" t="s">
        <v>65</v>
      </c>
      <c r="F24" s="38" t="s">
        <v>66</v>
      </c>
      <c r="G24" s="38">
        <f t="shared" si="11"/>
        <v>24</v>
      </c>
      <c r="H24" s="38" t="s">
        <v>67</v>
      </c>
      <c r="I24" s="157">
        <f t="shared" si="15"/>
        <v>1</v>
      </c>
      <c r="J24" s="161">
        <v>30</v>
      </c>
      <c r="K24" s="160">
        <f t="shared" si="12"/>
        <v>17876740.050000001</v>
      </c>
      <c r="L24" s="51">
        <f t="shared" si="13"/>
        <v>1</v>
      </c>
      <c r="M24" s="52">
        <f t="shared" si="14"/>
        <v>17876740.050000001</v>
      </c>
      <c r="N24" s="53">
        <f t="shared" si="1"/>
        <v>0.1</v>
      </c>
      <c r="O24" s="180">
        <f>+'ESTUDIO DE MERCADO_SEGURO'!$M19</f>
        <v>5100</v>
      </c>
      <c r="P24" s="52">
        <f t="shared" si="2"/>
        <v>1787674.0050000001</v>
      </c>
      <c r="Q24" s="40">
        <f t="shared" si="8"/>
        <v>19669514.055</v>
      </c>
      <c r="R24" s="52">
        <f t="shared" si="3"/>
        <v>1966951.4055000001</v>
      </c>
      <c r="S24" s="52">
        <f t="shared" si="4"/>
        <v>373720.76704500004</v>
      </c>
      <c r="T24" s="52">
        <f t="shared" si="9"/>
        <v>20043234.822044998</v>
      </c>
      <c r="U24" s="42" t="s">
        <v>53</v>
      </c>
      <c r="W24" s="187">
        <v>3750</v>
      </c>
      <c r="X24" s="187">
        <f t="shared" si="5"/>
        <v>3862.5</v>
      </c>
    </row>
    <row r="25" spans="1:24" s="43" customFormat="1" ht="39" customHeight="1">
      <c r="A25" s="34"/>
      <c r="B25" s="60" t="s">
        <v>76</v>
      </c>
      <c r="C25" s="35">
        <v>1</v>
      </c>
      <c r="D25" s="36" t="s">
        <v>77</v>
      </c>
      <c r="E25" s="37" t="s">
        <v>65</v>
      </c>
      <c r="F25" s="37" t="s">
        <v>66</v>
      </c>
      <c r="G25" s="37">
        <f t="shared" si="11"/>
        <v>24</v>
      </c>
      <c r="H25" s="37" t="s">
        <v>67</v>
      </c>
      <c r="I25" s="157">
        <f t="shared" si="15"/>
        <v>1</v>
      </c>
      <c r="J25" s="161">
        <v>30</v>
      </c>
      <c r="K25" s="160">
        <f t="shared" si="12"/>
        <v>17876740.050000001</v>
      </c>
      <c r="L25" s="39">
        <f t="shared" si="13"/>
        <v>1</v>
      </c>
      <c r="M25" s="40">
        <f t="shared" si="14"/>
        <v>17876740.050000001</v>
      </c>
      <c r="N25" s="41">
        <f t="shared" si="1"/>
        <v>0.1</v>
      </c>
      <c r="O25" s="180">
        <f>+'ESTUDIO DE MERCADO_SEGURO'!$M20</f>
        <v>5100</v>
      </c>
      <c r="P25" s="40">
        <f t="shared" si="2"/>
        <v>1787674.0050000001</v>
      </c>
      <c r="Q25" s="40">
        <f t="shared" si="8"/>
        <v>19669514.055</v>
      </c>
      <c r="R25" s="40">
        <f t="shared" si="3"/>
        <v>1966951.4055000001</v>
      </c>
      <c r="S25" s="40">
        <f t="shared" si="4"/>
        <v>373720.76704500004</v>
      </c>
      <c r="T25" s="40">
        <f t="shared" si="9"/>
        <v>20043234.822044998</v>
      </c>
      <c r="U25" s="42" t="s">
        <v>3</v>
      </c>
      <c r="W25" s="187">
        <v>3750</v>
      </c>
      <c r="X25" s="187">
        <f t="shared" si="5"/>
        <v>3862.5</v>
      </c>
    </row>
    <row r="26" spans="1:24" s="57" customFormat="1" ht="39" customHeight="1">
      <c r="A26" s="1"/>
      <c r="B26" s="60" t="s">
        <v>78</v>
      </c>
      <c r="C26" s="35">
        <v>1</v>
      </c>
      <c r="D26" s="55" t="s">
        <v>77</v>
      </c>
      <c r="E26" s="38" t="s">
        <v>65</v>
      </c>
      <c r="F26" s="38" t="s">
        <v>66</v>
      </c>
      <c r="G26" s="38">
        <f t="shared" si="11"/>
        <v>24</v>
      </c>
      <c r="H26" s="38" t="s">
        <v>67</v>
      </c>
      <c r="I26" s="157">
        <f t="shared" si="15"/>
        <v>1</v>
      </c>
      <c r="J26" s="161">
        <v>30</v>
      </c>
      <c r="K26" s="160">
        <f t="shared" si="12"/>
        <v>17876740.050000001</v>
      </c>
      <c r="L26" s="51">
        <f t="shared" si="13"/>
        <v>1</v>
      </c>
      <c r="M26" s="52">
        <f t="shared" si="14"/>
        <v>17876740.050000001</v>
      </c>
      <c r="N26" s="53">
        <f t="shared" si="1"/>
        <v>0.1</v>
      </c>
      <c r="O26" s="180">
        <f>+'ESTUDIO DE MERCADO_SEGURO'!$M21</f>
        <v>5100</v>
      </c>
      <c r="P26" s="52">
        <f t="shared" si="2"/>
        <v>1787674.0050000001</v>
      </c>
      <c r="Q26" s="40">
        <f t="shared" si="8"/>
        <v>19669514.055</v>
      </c>
      <c r="R26" s="52">
        <f t="shared" si="3"/>
        <v>1966951.4055000001</v>
      </c>
      <c r="S26" s="52">
        <f t="shared" si="4"/>
        <v>373720.76704500004</v>
      </c>
      <c r="T26" s="52">
        <f t="shared" si="9"/>
        <v>20043234.822044998</v>
      </c>
      <c r="U26" s="42" t="s">
        <v>3</v>
      </c>
      <c r="W26" s="189">
        <v>3750</v>
      </c>
      <c r="X26" s="187">
        <f t="shared" si="5"/>
        <v>3862.5</v>
      </c>
    </row>
    <row r="27" spans="1:24" s="57" customFormat="1" ht="39" customHeight="1">
      <c r="A27" s="1"/>
      <c r="B27" s="60" t="s">
        <v>79</v>
      </c>
      <c r="C27" s="35">
        <v>1</v>
      </c>
      <c r="D27" s="36" t="s">
        <v>80</v>
      </c>
      <c r="E27" s="37" t="s">
        <v>65</v>
      </c>
      <c r="F27" s="37" t="s">
        <v>66</v>
      </c>
      <c r="G27" s="37">
        <f t="shared" si="11"/>
        <v>24</v>
      </c>
      <c r="H27" s="37" t="s">
        <v>67</v>
      </c>
      <c r="I27" s="159">
        <f t="shared" si="15"/>
        <v>1</v>
      </c>
      <c r="J27" s="161">
        <v>30</v>
      </c>
      <c r="K27" s="160">
        <f t="shared" si="12"/>
        <v>17876740.050000001</v>
      </c>
      <c r="L27" s="39">
        <f t="shared" si="13"/>
        <v>1</v>
      </c>
      <c r="M27" s="40">
        <f t="shared" si="14"/>
        <v>17876740.050000001</v>
      </c>
      <c r="N27" s="41">
        <f t="shared" si="1"/>
        <v>0.1</v>
      </c>
      <c r="O27" s="180">
        <f>+'ESTUDIO DE MERCADO_SEGURO'!$M22</f>
        <v>5100</v>
      </c>
      <c r="P27" s="40">
        <f t="shared" si="2"/>
        <v>1787674.0050000001</v>
      </c>
      <c r="Q27" s="40">
        <f t="shared" si="8"/>
        <v>19669514.055</v>
      </c>
      <c r="R27" s="40">
        <f t="shared" si="3"/>
        <v>1966951.4055000001</v>
      </c>
      <c r="S27" s="40">
        <f t="shared" si="4"/>
        <v>373720.76704500004</v>
      </c>
      <c r="T27" s="40">
        <f t="shared" si="9"/>
        <v>20043234.822044998</v>
      </c>
      <c r="U27" s="42" t="s">
        <v>3</v>
      </c>
      <c r="W27" s="189">
        <v>3750</v>
      </c>
      <c r="X27" s="187">
        <f t="shared" si="5"/>
        <v>3862.5</v>
      </c>
    </row>
    <row r="28" spans="1:24" s="57" customFormat="1" ht="39" customHeight="1">
      <c r="A28" s="1"/>
      <c r="B28" s="60" t="s">
        <v>81</v>
      </c>
      <c r="C28" s="35">
        <v>1</v>
      </c>
      <c r="D28" s="55" t="s">
        <v>77</v>
      </c>
      <c r="E28" s="38" t="s">
        <v>65</v>
      </c>
      <c r="F28" s="38" t="s">
        <v>66</v>
      </c>
      <c r="G28" s="38">
        <f t="shared" si="11"/>
        <v>24</v>
      </c>
      <c r="H28" s="38" t="s">
        <v>67</v>
      </c>
      <c r="I28" s="157">
        <f t="shared" si="15"/>
        <v>1</v>
      </c>
      <c r="J28" s="161">
        <v>30</v>
      </c>
      <c r="K28" s="160">
        <f t="shared" si="12"/>
        <v>17876740.050000001</v>
      </c>
      <c r="L28" s="51">
        <f t="shared" si="13"/>
        <v>1</v>
      </c>
      <c r="M28" s="52">
        <f t="shared" si="14"/>
        <v>17876740.050000001</v>
      </c>
      <c r="N28" s="53">
        <f t="shared" si="1"/>
        <v>0.1</v>
      </c>
      <c r="O28" s="180">
        <f>+'ESTUDIO DE MERCADO_SEGURO'!$M23</f>
        <v>5100</v>
      </c>
      <c r="P28" s="52">
        <f t="shared" si="2"/>
        <v>1787674.0050000001</v>
      </c>
      <c r="Q28" s="40">
        <f t="shared" si="8"/>
        <v>19669514.055</v>
      </c>
      <c r="R28" s="52">
        <f t="shared" si="3"/>
        <v>1966951.4055000001</v>
      </c>
      <c r="S28" s="52">
        <f t="shared" si="4"/>
        <v>373720.76704500004</v>
      </c>
      <c r="T28" s="52">
        <f t="shared" si="9"/>
        <v>20043234.822044998</v>
      </c>
      <c r="U28" s="42" t="s">
        <v>3</v>
      </c>
      <c r="W28" s="189">
        <v>3750</v>
      </c>
      <c r="X28" s="187">
        <f t="shared" si="5"/>
        <v>3862.5</v>
      </c>
    </row>
    <row r="29" spans="1:24" s="57" customFormat="1" ht="39" customHeight="1">
      <c r="A29" s="1"/>
      <c r="B29" s="449" t="s">
        <v>82</v>
      </c>
      <c r="C29" s="35">
        <v>1</v>
      </c>
      <c r="D29" s="36" t="s">
        <v>77</v>
      </c>
      <c r="E29" s="37" t="s">
        <v>65</v>
      </c>
      <c r="F29" s="37" t="s">
        <v>66</v>
      </c>
      <c r="G29" s="37">
        <f t="shared" si="11"/>
        <v>24</v>
      </c>
      <c r="H29" s="37" t="s">
        <v>67</v>
      </c>
      <c r="I29" s="159">
        <f t="shared" si="15"/>
        <v>1</v>
      </c>
      <c r="J29" s="161">
        <v>30</v>
      </c>
      <c r="K29" s="160">
        <f t="shared" si="12"/>
        <v>17876740.050000001</v>
      </c>
      <c r="L29" s="39">
        <f t="shared" si="13"/>
        <v>1</v>
      </c>
      <c r="M29" s="40">
        <f t="shared" si="14"/>
        <v>17876740.050000001</v>
      </c>
      <c r="N29" s="41">
        <f t="shared" si="1"/>
        <v>0.1</v>
      </c>
      <c r="O29" s="180">
        <f>+'ESTUDIO DE MERCADO_SEGURO'!$M24</f>
        <v>5100</v>
      </c>
      <c r="P29" s="40">
        <f t="shared" si="2"/>
        <v>1787674.0050000001</v>
      </c>
      <c r="Q29" s="40">
        <f t="shared" si="8"/>
        <v>19669514.055</v>
      </c>
      <c r="R29" s="40">
        <f t="shared" si="3"/>
        <v>1966951.4055000001</v>
      </c>
      <c r="S29" s="40">
        <f t="shared" si="4"/>
        <v>373720.76704500004</v>
      </c>
      <c r="T29" s="40">
        <f t="shared" si="9"/>
        <v>20043234.822044998</v>
      </c>
      <c r="U29" s="42" t="s">
        <v>53</v>
      </c>
      <c r="W29" s="189">
        <v>3750</v>
      </c>
      <c r="X29" s="187">
        <f t="shared" si="5"/>
        <v>3862.5</v>
      </c>
    </row>
    <row r="30" spans="1:24" s="57" customFormat="1" ht="39" customHeight="1">
      <c r="A30" s="1"/>
      <c r="B30" s="449"/>
      <c r="C30" s="35">
        <v>1</v>
      </c>
      <c r="D30" s="36" t="s">
        <v>77</v>
      </c>
      <c r="E30" s="37" t="s">
        <v>65</v>
      </c>
      <c r="F30" s="37" t="s">
        <v>66</v>
      </c>
      <c r="G30" s="37">
        <f t="shared" si="11"/>
        <v>24</v>
      </c>
      <c r="H30" s="37" t="s">
        <v>67</v>
      </c>
      <c r="I30" s="159">
        <f t="shared" si="15"/>
        <v>1</v>
      </c>
      <c r="J30" s="161">
        <v>30</v>
      </c>
      <c r="K30" s="160">
        <f t="shared" si="12"/>
        <v>17876740.050000001</v>
      </c>
      <c r="L30" s="39">
        <f t="shared" si="13"/>
        <v>1</v>
      </c>
      <c r="M30" s="40">
        <f t="shared" si="14"/>
        <v>17876740.050000001</v>
      </c>
      <c r="N30" s="41">
        <f t="shared" si="1"/>
        <v>0.1</v>
      </c>
      <c r="O30" s="180">
        <f>+'ESTUDIO DE MERCADO_SEGURO'!$M25</f>
        <v>5100</v>
      </c>
      <c r="P30" s="40">
        <f t="shared" si="2"/>
        <v>1787674.0050000001</v>
      </c>
      <c r="Q30" s="40">
        <f t="shared" si="8"/>
        <v>19669514.055</v>
      </c>
      <c r="R30" s="40">
        <f t="shared" si="3"/>
        <v>1966951.4055000001</v>
      </c>
      <c r="S30" s="40">
        <f t="shared" si="4"/>
        <v>373720.76704500004</v>
      </c>
      <c r="T30" s="40">
        <f t="shared" si="9"/>
        <v>20043234.822044998</v>
      </c>
      <c r="U30" s="42" t="s">
        <v>3</v>
      </c>
      <c r="W30" s="189">
        <v>3750</v>
      </c>
      <c r="X30" s="187">
        <f t="shared" si="5"/>
        <v>3862.5</v>
      </c>
    </row>
    <row r="31" spans="1:24" s="57" customFormat="1" ht="39" customHeight="1">
      <c r="A31" s="1"/>
      <c r="B31" s="63" t="s">
        <v>83</v>
      </c>
      <c r="C31" s="35">
        <v>2</v>
      </c>
      <c r="D31" s="36" t="s">
        <v>84</v>
      </c>
      <c r="E31" s="37" t="s">
        <v>65</v>
      </c>
      <c r="F31" s="37" t="s">
        <v>66</v>
      </c>
      <c r="G31" s="37">
        <f t="shared" si="11"/>
        <v>24</v>
      </c>
      <c r="H31" s="37" t="s">
        <v>67</v>
      </c>
      <c r="I31" s="159">
        <f t="shared" si="15"/>
        <v>1</v>
      </c>
      <c r="J31" s="161">
        <v>30</v>
      </c>
      <c r="K31" s="160">
        <f t="shared" si="12"/>
        <v>17876740.050000001</v>
      </c>
      <c r="L31" s="39">
        <f t="shared" si="13"/>
        <v>1</v>
      </c>
      <c r="M31" s="40">
        <f t="shared" si="14"/>
        <v>35753480.100000001</v>
      </c>
      <c r="N31" s="41">
        <f t="shared" si="1"/>
        <v>0.1</v>
      </c>
      <c r="O31" s="180">
        <f>+'ESTUDIO DE MERCADO_SEGURO'!$M26</f>
        <v>5100</v>
      </c>
      <c r="P31" s="40">
        <f t="shared" si="2"/>
        <v>3575348.0100000002</v>
      </c>
      <c r="Q31" s="40">
        <f t="shared" si="8"/>
        <v>39333928.109999999</v>
      </c>
      <c r="R31" s="40">
        <f t="shared" si="3"/>
        <v>3933392.8110000002</v>
      </c>
      <c r="S31" s="40">
        <f t="shared" si="4"/>
        <v>747344.63409000007</v>
      </c>
      <c r="T31" s="40">
        <f t="shared" si="9"/>
        <v>40081272.744089998</v>
      </c>
      <c r="U31" s="42" t="s">
        <v>53</v>
      </c>
      <c r="W31" s="189">
        <v>3750</v>
      </c>
      <c r="X31" s="187">
        <f t="shared" si="5"/>
        <v>3862.5</v>
      </c>
    </row>
    <row r="32" spans="1:24" s="57" customFormat="1" ht="39" customHeight="1">
      <c r="A32" s="1"/>
      <c r="B32" s="60" t="s">
        <v>85</v>
      </c>
      <c r="C32" s="35">
        <v>1</v>
      </c>
      <c r="D32" s="55" t="s">
        <v>73</v>
      </c>
      <c r="E32" s="38" t="s">
        <v>65</v>
      </c>
      <c r="F32" s="38" t="s">
        <v>66</v>
      </c>
      <c r="G32" s="38">
        <f t="shared" si="11"/>
        <v>24</v>
      </c>
      <c r="H32" s="38" t="s">
        <v>67</v>
      </c>
      <c r="I32" s="157">
        <f t="shared" si="15"/>
        <v>1</v>
      </c>
      <c r="J32" s="161">
        <v>30</v>
      </c>
      <c r="K32" s="160">
        <f t="shared" si="12"/>
        <v>17876740.050000001</v>
      </c>
      <c r="L32" s="51">
        <f t="shared" si="13"/>
        <v>1</v>
      </c>
      <c r="M32" s="52">
        <f t="shared" si="14"/>
        <v>17876740.050000001</v>
      </c>
      <c r="N32" s="53">
        <f t="shared" si="1"/>
        <v>0.1</v>
      </c>
      <c r="O32" s="180">
        <f>+'ESTUDIO DE MERCADO_SEGURO'!$M27</f>
        <v>5100</v>
      </c>
      <c r="P32" s="52">
        <f t="shared" si="2"/>
        <v>1787674.0050000001</v>
      </c>
      <c r="Q32" s="40">
        <f t="shared" si="8"/>
        <v>19669514.055</v>
      </c>
      <c r="R32" s="52">
        <f t="shared" si="3"/>
        <v>1966951.4055000001</v>
      </c>
      <c r="S32" s="52">
        <f t="shared" si="4"/>
        <v>373720.76704500004</v>
      </c>
      <c r="T32" s="52">
        <f t="shared" si="9"/>
        <v>20043234.822044998</v>
      </c>
      <c r="U32" s="42" t="s">
        <v>3</v>
      </c>
      <c r="W32" s="189">
        <v>3750</v>
      </c>
      <c r="X32" s="187">
        <f t="shared" si="5"/>
        <v>3862.5</v>
      </c>
    </row>
    <row r="33" spans="1:24" s="57" customFormat="1" ht="39" customHeight="1">
      <c r="A33" s="1"/>
      <c r="B33" s="64" t="s">
        <v>86</v>
      </c>
      <c r="C33" s="35">
        <v>2</v>
      </c>
      <c r="D33" s="36" t="s">
        <v>87</v>
      </c>
      <c r="E33" s="37" t="s">
        <v>65</v>
      </c>
      <c r="F33" s="37" t="s">
        <v>66</v>
      </c>
      <c r="G33" s="37">
        <f t="shared" si="11"/>
        <v>24</v>
      </c>
      <c r="H33" s="37" t="s">
        <v>67</v>
      </c>
      <c r="I33" s="159">
        <f t="shared" si="15"/>
        <v>1</v>
      </c>
      <c r="J33" s="161">
        <v>30</v>
      </c>
      <c r="K33" s="160">
        <f t="shared" si="12"/>
        <v>17876740.050000001</v>
      </c>
      <c r="L33" s="39">
        <f t="shared" si="13"/>
        <v>1</v>
      </c>
      <c r="M33" s="40">
        <f t="shared" si="14"/>
        <v>35753480.100000001</v>
      </c>
      <c r="N33" s="41">
        <f t="shared" si="1"/>
        <v>0.1</v>
      </c>
      <c r="O33" s="180">
        <f>+'ESTUDIO DE MERCADO_SEGURO'!$M28</f>
        <v>5100</v>
      </c>
      <c r="P33" s="40">
        <f t="shared" si="2"/>
        <v>3575348.0100000002</v>
      </c>
      <c r="Q33" s="40">
        <f t="shared" si="8"/>
        <v>39333928.109999999</v>
      </c>
      <c r="R33" s="40">
        <f t="shared" si="3"/>
        <v>3933392.8110000002</v>
      </c>
      <c r="S33" s="40">
        <f t="shared" si="4"/>
        <v>747344.63409000007</v>
      </c>
      <c r="T33" s="40">
        <f t="shared" si="9"/>
        <v>40081272.744089998</v>
      </c>
      <c r="U33" s="42" t="s">
        <v>53</v>
      </c>
      <c r="W33" s="189">
        <v>3750</v>
      </c>
      <c r="X33" s="187">
        <f t="shared" si="5"/>
        <v>3862.5</v>
      </c>
    </row>
    <row r="34" spans="1:24" s="43" customFormat="1" ht="39" customHeight="1">
      <c r="A34" s="34"/>
      <c r="B34" s="62" t="s">
        <v>88</v>
      </c>
      <c r="C34" s="35">
        <v>1</v>
      </c>
      <c r="D34" s="55" t="s">
        <v>77</v>
      </c>
      <c r="E34" s="38" t="s">
        <v>65</v>
      </c>
      <c r="F34" s="38" t="s">
        <v>66</v>
      </c>
      <c r="G34" s="38">
        <f t="shared" si="11"/>
        <v>24</v>
      </c>
      <c r="H34" s="38" t="s">
        <v>67</v>
      </c>
      <c r="I34" s="157">
        <f t="shared" si="15"/>
        <v>1</v>
      </c>
      <c r="J34" s="161">
        <v>30</v>
      </c>
      <c r="K34" s="160">
        <f t="shared" si="12"/>
        <v>17876740.050000001</v>
      </c>
      <c r="L34" s="51">
        <f t="shared" si="13"/>
        <v>1</v>
      </c>
      <c r="M34" s="52">
        <f t="shared" si="14"/>
        <v>17876740.050000001</v>
      </c>
      <c r="N34" s="53">
        <f t="shared" si="1"/>
        <v>0.1</v>
      </c>
      <c r="O34" s="180">
        <f>+'ESTUDIO DE MERCADO_SEGURO'!$M29</f>
        <v>5100</v>
      </c>
      <c r="P34" s="52">
        <f t="shared" si="2"/>
        <v>1787674.0050000001</v>
      </c>
      <c r="Q34" s="40">
        <f t="shared" si="8"/>
        <v>19669514.055</v>
      </c>
      <c r="R34" s="52">
        <f t="shared" si="3"/>
        <v>1966951.4055000001</v>
      </c>
      <c r="S34" s="52">
        <f t="shared" si="4"/>
        <v>373720.76704500004</v>
      </c>
      <c r="T34" s="52">
        <f t="shared" si="9"/>
        <v>20043234.822044998</v>
      </c>
      <c r="U34" s="42" t="s">
        <v>3</v>
      </c>
      <c r="W34" s="187">
        <v>3750</v>
      </c>
      <c r="X34" s="187">
        <f t="shared" si="5"/>
        <v>3862.5</v>
      </c>
    </row>
    <row r="35" spans="1:24" s="43" customFormat="1" ht="39" customHeight="1">
      <c r="A35" s="34"/>
      <c r="B35" s="65" t="s">
        <v>89</v>
      </c>
      <c r="C35" s="35">
        <v>1</v>
      </c>
      <c r="D35" s="36" t="s">
        <v>73</v>
      </c>
      <c r="E35" s="37" t="s">
        <v>65</v>
      </c>
      <c r="F35" s="37" t="s">
        <v>66</v>
      </c>
      <c r="G35" s="37">
        <f t="shared" si="11"/>
        <v>24</v>
      </c>
      <c r="H35" s="37" t="s">
        <v>67</v>
      </c>
      <c r="I35" s="159">
        <f t="shared" si="15"/>
        <v>1</v>
      </c>
      <c r="J35" s="161">
        <v>30</v>
      </c>
      <c r="K35" s="160">
        <f t="shared" si="12"/>
        <v>17876740.050000001</v>
      </c>
      <c r="L35" s="39">
        <f t="shared" si="13"/>
        <v>1</v>
      </c>
      <c r="M35" s="40">
        <f t="shared" si="14"/>
        <v>17876740.050000001</v>
      </c>
      <c r="N35" s="41">
        <f t="shared" si="1"/>
        <v>0.1</v>
      </c>
      <c r="O35" s="180">
        <f>+'ESTUDIO DE MERCADO_SEGURO'!$M30</f>
        <v>5100</v>
      </c>
      <c r="P35" s="40">
        <f t="shared" si="2"/>
        <v>1787674.0050000001</v>
      </c>
      <c r="Q35" s="40">
        <f t="shared" si="8"/>
        <v>19669514.055</v>
      </c>
      <c r="R35" s="40">
        <f t="shared" si="3"/>
        <v>1966951.4055000001</v>
      </c>
      <c r="S35" s="40">
        <f t="shared" si="4"/>
        <v>373720.76704500004</v>
      </c>
      <c r="T35" s="40">
        <f t="shared" si="9"/>
        <v>20043234.822044998</v>
      </c>
      <c r="U35" s="42" t="s">
        <v>3</v>
      </c>
      <c r="W35" s="187">
        <v>3750</v>
      </c>
      <c r="X35" s="187">
        <f t="shared" si="5"/>
        <v>3862.5</v>
      </c>
    </row>
    <row r="36" spans="1:24" s="43" customFormat="1" ht="39" customHeight="1">
      <c r="A36" s="34"/>
      <c r="B36" s="60" t="s">
        <v>90</v>
      </c>
      <c r="C36" s="35">
        <v>1</v>
      </c>
      <c r="D36" s="55" t="s">
        <v>73</v>
      </c>
      <c r="E36" s="38" t="s">
        <v>65</v>
      </c>
      <c r="F36" s="38" t="s">
        <v>66</v>
      </c>
      <c r="G36" s="38">
        <f t="shared" si="11"/>
        <v>24</v>
      </c>
      <c r="H36" s="38" t="s">
        <v>67</v>
      </c>
      <c r="I36" s="157">
        <f t="shared" si="15"/>
        <v>1</v>
      </c>
      <c r="J36" s="161">
        <v>30</v>
      </c>
      <c r="K36" s="160">
        <f t="shared" si="12"/>
        <v>17876740.050000001</v>
      </c>
      <c r="L36" s="51">
        <f t="shared" si="13"/>
        <v>1</v>
      </c>
      <c r="M36" s="52">
        <f t="shared" si="14"/>
        <v>17876740.050000001</v>
      </c>
      <c r="N36" s="53">
        <f t="shared" si="1"/>
        <v>0.1</v>
      </c>
      <c r="O36" s="180">
        <f>+'ESTUDIO DE MERCADO_SEGURO'!$M31</f>
        <v>5100</v>
      </c>
      <c r="P36" s="52">
        <f t="shared" si="2"/>
        <v>1787674.0050000001</v>
      </c>
      <c r="Q36" s="40">
        <f t="shared" si="8"/>
        <v>19669514.055</v>
      </c>
      <c r="R36" s="52">
        <f t="shared" si="3"/>
        <v>1966951.4055000001</v>
      </c>
      <c r="S36" s="52">
        <f t="shared" si="4"/>
        <v>373720.76704500004</v>
      </c>
      <c r="T36" s="52">
        <f t="shared" si="9"/>
        <v>20043234.822044998</v>
      </c>
      <c r="U36" s="42" t="s">
        <v>3</v>
      </c>
      <c r="W36" s="187">
        <v>3750</v>
      </c>
      <c r="X36" s="187">
        <f t="shared" si="5"/>
        <v>3862.5</v>
      </c>
    </row>
    <row r="37" spans="1:24" s="43" customFormat="1" ht="39" customHeight="1">
      <c r="A37" s="34"/>
      <c r="B37" s="66" t="s">
        <v>91</v>
      </c>
      <c r="C37" s="35">
        <v>1</v>
      </c>
      <c r="D37" s="36" t="s">
        <v>75</v>
      </c>
      <c r="E37" s="37" t="s">
        <v>65</v>
      </c>
      <c r="F37" s="37" t="s">
        <v>66</v>
      </c>
      <c r="G37" s="37">
        <f t="shared" si="11"/>
        <v>24</v>
      </c>
      <c r="H37" s="37" t="s">
        <v>67</v>
      </c>
      <c r="I37" s="159">
        <f t="shared" si="15"/>
        <v>1</v>
      </c>
      <c r="J37" s="161">
        <v>30</v>
      </c>
      <c r="K37" s="160">
        <f t="shared" si="12"/>
        <v>17876740.050000001</v>
      </c>
      <c r="L37" s="39">
        <f t="shared" si="13"/>
        <v>1</v>
      </c>
      <c r="M37" s="40">
        <f t="shared" si="14"/>
        <v>17876740.050000001</v>
      </c>
      <c r="N37" s="41">
        <f t="shared" si="1"/>
        <v>0.1</v>
      </c>
      <c r="O37" s="180">
        <f>+'ESTUDIO DE MERCADO_SEGURO'!$M32</f>
        <v>5100</v>
      </c>
      <c r="P37" s="40">
        <f t="shared" si="2"/>
        <v>1787674.0050000001</v>
      </c>
      <c r="Q37" s="40">
        <f t="shared" si="8"/>
        <v>19669514.055</v>
      </c>
      <c r="R37" s="40">
        <f t="shared" si="3"/>
        <v>1966951.4055000001</v>
      </c>
      <c r="S37" s="40">
        <f t="shared" si="4"/>
        <v>373720.76704500004</v>
      </c>
      <c r="T37" s="40">
        <f t="shared" si="9"/>
        <v>20043234.822044998</v>
      </c>
      <c r="U37" s="42" t="s">
        <v>53</v>
      </c>
      <c r="W37" s="187">
        <v>3750</v>
      </c>
      <c r="X37" s="187">
        <f t="shared" si="5"/>
        <v>3862.5</v>
      </c>
    </row>
    <row r="38" spans="1:24" s="43" customFormat="1" ht="39" customHeight="1">
      <c r="A38" s="34"/>
      <c r="B38" s="67" t="s">
        <v>92</v>
      </c>
      <c r="C38" s="35">
        <v>1</v>
      </c>
      <c r="D38" s="55" t="s">
        <v>75</v>
      </c>
      <c r="E38" s="38" t="s">
        <v>65</v>
      </c>
      <c r="F38" s="38" t="s">
        <v>66</v>
      </c>
      <c r="G38" s="38">
        <f t="shared" si="11"/>
        <v>24</v>
      </c>
      <c r="H38" s="38" t="s">
        <v>67</v>
      </c>
      <c r="I38" s="157">
        <f t="shared" si="15"/>
        <v>1</v>
      </c>
      <c r="J38" s="161">
        <v>30</v>
      </c>
      <c r="K38" s="160">
        <f t="shared" si="12"/>
        <v>17876740.050000001</v>
      </c>
      <c r="L38" s="51">
        <f t="shared" si="13"/>
        <v>1</v>
      </c>
      <c r="M38" s="52">
        <f t="shared" si="14"/>
        <v>17876740.050000001</v>
      </c>
      <c r="N38" s="53">
        <f t="shared" si="1"/>
        <v>0.1</v>
      </c>
      <c r="O38" s="180">
        <f>+'ESTUDIO DE MERCADO_SEGURO'!$M33</f>
        <v>5100</v>
      </c>
      <c r="P38" s="52">
        <f t="shared" si="2"/>
        <v>1787674.0050000001</v>
      </c>
      <c r="Q38" s="40">
        <f t="shared" si="8"/>
        <v>19669514.055</v>
      </c>
      <c r="R38" s="52">
        <f t="shared" si="3"/>
        <v>1966951.4055000001</v>
      </c>
      <c r="S38" s="52">
        <f t="shared" si="4"/>
        <v>373720.76704500004</v>
      </c>
      <c r="T38" s="52">
        <f t="shared" si="9"/>
        <v>20043234.822044998</v>
      </c>
      <c r="U38" s="42" t="s">
        <v>53</v>
      </c>
      <c r="W38" s="187">
        <v>3750</v>
      </c>
      <c r="X38" s="187">
        <f t="shared" si="5"/>
        <v>3862.5</v>
      </c>
    </row>
    <row r="39" spans="1:24" s="43" customFormat="1" ht="39" customHeight="1">
      <c r="A39" s="34"/>
      <c r="B39" s="66" t="s">
        <v>93</v>
      </c>
      <c r="C39" s="35">
        <v>1</v>
      </c>
      <c r="D39" s="36" t="s">
        <v>94</v>
      </c>
      <c r="E39" s="37" t="s">
        <v>65</v>
      </c>
      <c r="F39" s="37" t="s">
        <v>66</v>
      </c>
      <c r="G39" s="37">
        <f t="shared" si="11"/>
        <v>24</v>
      </c>
      <c r="H39" s="37" t="s">
        <v>67</v>
      </c>
      <c r="I39" s="159">
        <f t="shared" si="15"/>
        <v>1</v>
      </c>
      <c r="J39" s="161">
        <v>30</v>
      </c>
      <c r="K39" s="160">
        <f t="shared" si="12"/>
        <v>17876740.050000001</v>
      </c>
      <c r="L39" s="39">
        <f t="shared" si="13"/>
        <v>1</v>
      </c>
      <c r="M39" s="40">
        <f t="shared" si="14"/>
        <v>17876740.050000001</v>
      </c>
      <c r="N39" s="41">
        <f t="shared" si="1"/>
        <v>0.1</v>
      </c>
      <c r="O39" s="180">
        <f>+'ESTUDIO DE MERCADO_SEGURO'!$M34</f>
        <v>5100</v>
      </c>
      <c r="P39" s="40">
        <f t="shared" si="2"/>
        <v>1787674.0050000001</v>
      </c>
      <c r="Q39" s="40">
        <f t="shared" si="8"/>
        <v>19669514.055</v>
      </c>
      <c r="R39" s="40">
        <f t="shared" si="3"/>
        <v>1966951.4055000001</v>
      </c>
      <c r="S39" s="40">
        <f t="shared" si="4"/>
        <v>373720.76704500004</v>
      </c>
      <c r="T39" s="40">
        <f t="shared" si="9"/>
        <v>20043234.822044998</v>
      </c>
      <c r="U39" s="42" t="s">
        <v>53</v>
      </c>
      <c r="W39" s="187">
        <v>3750</v>
      </c>
      <c r="X39" s="187">
        <f t="shared" si="5"/>
        <v>3862.5</v>
      </c>
    </row>
    <row r="40" spans="1:24" s="43" customFormat="1" ht="39" customHeight="1">
      <c r="A40" s="34"/>
      <c r="B40" s="68" t="s">
        <v>95</v>
      </c>
      <c r="C40" s="69">
        <v>1</v>
      </c>
      <c r="D40" s="70" t="s">
        <v>80</v>
      </c>
      <c r="E40" s="71" t="s">
        <v>51</v>
      </c>
      <c r="F40" s="71" t="s">
        <v>66</v>
      </c>
      <c r="G40" s="71">
        <f t="shared" si="11"/>
        <v>24</v>
      </c>
      <c r="H40" s="71" t="s">
        <v>67</v>
      </c>
      <c r="I40" s="71">
        <f t="shared" si="15"/>
        <v>1</v>
      </c>
      <c r="J40" s="72">
        <v>30</v>
      </c>
      <c r="K40" s="73">
        <f t="shared" si="12"/>
        <v>17876740.050000001</v>
      </c>
      <c r="L40" s="74">
        <f t="shared" si="13"/>
        <v>1</v>
      </c>
      <c r="M40" s="75">
        <f t="shared" si="14"/>
        <v>17876740.050000001</v>
      </c>
      <c r="N40" s="76">
        <f t="shared" si="1"/>
        <v>0.08</v>
      </c>
      <c r="O40" s="180">
        <f>+'ESTUDIO DE MERCADO_SEGURO'!$M35</f>
        <v>5100</v>
      </c>
      <c r="P40" s="75">
        <f t="shared" si="2"/>
        <v>1430139.2040000001</v>
      </c>
      <c r="Q40" s="75">
        <f t="shared" si="8"/>
        <v>19311979.254000001</v>
      </c>
      <c r="R40" s="75">
        <f t="shared" si="3"/>
        <v>1931197.9254000001</v>
      </c>
      <c r="S40" s="75">
        <f t="shared" si="4"/>
        <v>366927.60582600004</v>
      </c>
      <c r="T40" s="75">
        <f t="shared" si="9"/>
        <v>19678906.859826002</v>
      </c>
      <c r="U40" s="77" t="s">
        <v>3</v>
      </c>
      <c r="W40" s="187">
        <v>3750</v>
      </c>
      <c r="X40" s="187">
        <f t="shared" si="5"/>
        <v>3862.5</v>
      </c>
    </row>
    <row r="41" spans="1:24" ht="24.75" customHeight="1">
      <c r="A41" s="1"/>
      <c r="B41" s="450" t="s">
        <v>4</v>
      </c>
      <c r="C41" s="450"/>
      <c r="D41" s="450"/>
      <c r="E41" s="450"/>
      <c r="F41" s="450"/>
      <c r="G41" s="450"/>
      <c r="H41" s="450"/>
      <c r="I41" s="450"/>
      <c r="J41" s="450"/>
      <c r="K41" s="78"/>
      <c r="L41" s="79"/>
      <c r="M41" s="80">
        <f>SUM(M12:M40)</f>
        <v>453609158.44290018</v>
      </c>
      <c r="N41" s="81"/>
      <c r="O41" s="181">
        <f t="shared" ref="O41:T41" si="17">SUM(O12:O40)</f>
        <v>118967</v>
      </c>
      <c r="P41" s="81">
        <f t="shared" si="17"/>
        <v>43796963.496432014</v>
      </c>
      <c r="Q41" s="81">
        <f t="shared" si="17"/>
        <v>497525088.93933213</v>
      </c>
      <c r="R41" s="81">
        <f t="shared" si="17"/>
        <v>49752508.893933207</v>
      </c>
      <c r="S41" s="81">
        <f t="shared" si="17"/>
        <v>9452976.6898473054</v>
      </c>
      <c r="T41" s="81">
        <f t="shared" si="17"/>
        <v>506978065.62917918</v>
      </c>
      <c r="U41" s="82"/>
    </row>
    <row r="42" spans="1:24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4" ht="40.5" customHeight="1">
      <c r="A43" s="1"/>
      <c r="B43" s="451" t="s">
        <v>96</v>
      </c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87"/>
      <c r="N43" s="88"/>
      <c r="O43" s="88"/>
      <c r="P43" s="89"/>
      <c r="Q43" s="89"/>
      <c r="R43" s="89"/>
      <c r="S43" s="89"/>
      <c r="T43" s="88"/>
      <c r="U43" s="88"/>
    </row>
    <row r="44" spans="1:24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4" ht="15" customHeight="1">
      <c r="A45" s="1"/>
      <c r="B45" s="1"/>
      <c r="C45" s="1"/>
      <c r="D45" s="1" t="s">
        <v>97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43" t="s">
        <v>98</v>
      </c>
      <c r="S45" s="443"/>
      <c r="T45" s="100">
        <f>+M41</f>
        <v>453609158.44290018</v>
      </c>
      <c r="U45" s="101"/>
    </row>
    <row r="46" spans="1:24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43" t="s">
        <v>99</v>
      </c>
      <c r="S46" s="443"/>
      <c r="T46" s="100">
        <f>+P41</f>
        <v>43796963.496432014</v>
      </c>
      <c r="U46" s="101"/>
    </row>
    <row r="47" spans="1:24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43" t="s">
        <v>100</v>
      </c>
      <c r="S47" s="443"/>
      <c r="T47" s="102">
        <f>T45+T46+O41</f>
        <v>497525088.93933219</v>
      </c>
      <c r="U47" s="103"/>
    </row>
    <row r="48" spans="1:24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43" t="s">
        <v>101</v>
      </c>
      <c r="S48" s="443"/>
      <c r="T48" s="100">
        <f>+S41</f>
        <v>9452976.6898473054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56" t="s">
        <v>4</v>
      </c>
      <c r="S49" s="456"/>
      <c r="T49" s="106">
        <f>T47+T48</f>
        <v>506978065.62917948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57" t="s">
        <v>102</v>
      </c>
      <c r="F51" s="458"/>
      <c r="G51" s="458"/>
      <c r="H51" s="458"/>
      <c r="I51" s="459"/>
      <c r="J51" s="99" t="s">
        <v>98</v>
      </c>
      <c r="K51" s="110"/>
      <c r="L51" s="466">
        <f>SUMIF($U$12:$U$40,"anm",$M$12:$M$40)</f>
        <v>241686867.87960303</v>
      </c>
      <c r="M51" s="467"/>
      <c r="N51" s="111"/>
      <c r="O51" s="111"/>
      <c r="P51" s="112">
        <f>SUMIF($U$12:$U$39,"ANM",$U$12:$U$39)</f>
        <v>0</v>
      </c>
      <c r="Q51" s="468"/>
      <c r="R51" s="469" t="s">
        <v>3</v>
      </c>
      <c r="S51" s="470" t="s">
        <v>98</v>
      </c>
      <c r="T51" s="470"/>
      <c r="U51" s="100">
        <f>SUMIF($U$9:$U$40,"SGR",$M$9:$M$40)</f>
        <v>211922290.56329703</v>
      </c>
    </row>
    <row r="52" spans="1:21" ht="15.75">
      <c r="A52" s="105"/>
      <c r="B52" s="1"/>
      <c r="C52" s="1"/>
      <c r="D52" s="1"/>
      <c r="E52" s="460"/>
      <c r="F52" s="461"/>
      <c r="G52" s="461"/>
      <c r="H52" s="461"/>
      <c r="I52" s="462"/>
      <c r="J52" s="99" t="s">
        <v>99</v>
      </c>
      <c r="K52" s="110"/>
      <c r="L52" s="466">
        <f>SUMIF($U$12:$U$40,"anm",$P$12:$P$40)</f>
        <v>23267832.241368238</v>
      </c>
      <c r="M52" s="467"/>
      <c r="N52" s="111"/>
      <c r="O52" s="111"/>
      <c r="P52" s="112">
        <f>SUMIF($U$12:$U$39,"ANM",$U$12:$U$39)</f>
        <v>0</v>
      </c>
      <c r="Q52" s="468"/>
      <c r="R52" s="469"/>
      <c r="S52" s="470" t="s">
        <v>99</v>
      </c>
      <c r="T52" s="470"/>
      <c r="U52" s="114">
        <f>SUMIF($U$11:$U$40,"SGR",$P$11:$P$40)</f>
        <v>20529131.255063761</v>
      </c>
    </row>
    <row r="53" spans="1:21" ht="15.75">
      <c r="A53" s="1" t="s">
        <v>103</v>
      </c>
      <c r="B53" s="1"/>
      <c r="C53" s="1"/>
      <c r="D53" s="1"/>
      <c r="E53" s="460"/>
      <c r="F53" s="461"/>
      <c r="G53" s="461"/>
      <c r="H53" s="461"/>
      <c r="I53" s="462"/>
      <c r="J53" s="99" t="s">
        <v>104</v>
      </c>
      <c r="K53" s="113"/>
      <c r="L53" s="466">
        <f>SUMIF($U$12:$U$40,"anm",$O$12:$O$40)</f>
        <v>58454</v>
      </c>
      <c r="M53" s="467"/>
      <c r="N53" s="115"/>
      <c r="O53" s="115"/>
      <c r="P53" s="112"/>
      <c r="Q53" s="468"/>
      <c r="R53" s="469"/>
      <c r="S53" s="471" t="s">
        <v>104</v>
      </c>
      <c r="T53" s="472"/>
      <c r="U53" s="114">
        <f>SUMIF($U$12:$U$40,"SGR",$O$12:$O$40)</f>
        <v>60513</v>
      </c>
    </row>
    <row r="54" spans="1:21" ht="15.75">
      <c r="A54" s="1" t="s">
        <v>105</v>
      </c>
      <c r="B54" s="1"/>
      <c r="C54" s="1"/>
      <c r="D54" s="1"/>
      <c r="E54" s="460"/>
      <c r="F54" s="461"/>
      <c r="G54" s="461"/>
      <c r="H54" s="461"/>
      <c r="I54" s="462"/>
      <c r="J54" s="99" t="s">
        <v>100</v>
      </c>
      <c r="K54" s="110"/>
      <c r="L54" s="475">
        <f>L51+L52+L53</f>
        <v>265013154.12097126</v>
      </c>
      <c r="M54" s="476"/>
      <c r="N54" s="115"/>
      <c r="O54" s="115"/>
      <c r="P54" s="112">
        <f>SUMIF($U$12:$U$39,"ANM",$U$12:$U$39)</f>
        <v>0</v>
      </c>
      <c r="Q54" s="468"/>
      <c r="R54" s="469"/>
      <c r="S54" s="470" t="s">
        <v>100</v>
      </c>
      <c r="T54" s="470"/>
      <c r="U54" s="100">
        <f>U51+U52+U53</f>
        <v>232511934.81836081</v>
      </c>
    </row>
    <row r="55" spans="1:21" ht="15.75">
      <c r="A55" s="1" t="s">
        <v>106</v>
      </c>
      <c r="B55" s="1"/>
      <c r="C55" s="1"/>
      <c r="D55" s="1"/>
      <c r="E55" s="463"/>
      <c r="F55" s="464"/>
      <c r="G55" s="464"/>
      <c r="H55" s="464"/>
      <c r="I55" s="465"/>
      <c r="J55" s="99" t="s">
        <v>101</v>
      </c>
      <c r="K55" s="110"/>
      <c r="L55" s="477">
        <f>SUMIF($U$12:$U$40,"anm",$S$12:$S$40)</f>
        <v>5035249.9282984529</v>
      </c>
      <c r="M55" s="478"/>
      <c r="N55" s="115"/>
      <c r="O55" s="115"/>
      <c r="P55" s="116">
        <f>L56+U56</f>
        <v>506978065.62917936</v>
      </c>
      <c r="Q55" s="468"/>
      <c r="R55" s="469"/>
      <c r="S55" s="471" t="s">
        <v>101</v>
      </c>
      <c r="T55" s="472"/>
      <c r="U55" s="100">
        <f>SUMIF($U$9:$U$40,"SGR",$S$9:$S$40)</f>
        <v>4417726.7615488553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52" t="s">
        <v>4</v>
      </c>
      <c r="K56" s="453"/>
      <c r="L56" s="118">
        <f>L54+L55</f>
        <v>270048404.04926974</v>
      </c>
      <c r="M56" s="119"/>
      <c r="N56" s="120"/>
      <c r="O56" s="120"/>
      <c r="P56" s="121"/>
      <c r="Q56" s="122"/>
      <c r="R56" s="123"/>
      <c r="S56" s="454" t="s">
        <v>4</v>
      </c>
      <c r="T56" s="455"/>
      <c r="U56" s="182">
        <f>(U54+U55)</f>
        <v>236929661.57990965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107</v>
      </c>
      <c r="K57" s="125"/>
      <c r="L57" s="126"/>
      <c r="M57" s="127"/>
      <c r="N57" s="128"/>
      <c r="O57" s="128"/>
      <c r="P57" s="129"/>
      <c r="Q57" s="130"/>
      <c r="R57" s="130"/>
      <c r="S57" s="473" t="s">
        <v>107</v>
      </c>
      <c r="T57" s="474"/>
      <c r="U57" s="183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29"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">
    <cfRule type="containsText" dxfId="25" priority="5" operator="containsText" text=" lunes a viernes (sin festivos)">
      <formula>NOT(ISERROR(SEARCH(" lunes a viernes (sin festivos)",C4)))</formula>
    </cfRule>
  </conditionalFormatting>
  <conditionalFormatting sqref="D1:D7">
    <cfRule type="containsText" dxfId="24" priority="3" operator="containsText" text=" lunes a viernes (sin festivos)">
      <formula>NOT(ISERROR(SEARCH(" lunes a viernes (sin festivos)",D1)))</formula>
    </cfRule>
  </conditionalFormatting>
  <conditionalFormatting sqref="D9:D21">
    <cfRule type="containsText" dxfId="23" priority="1" operator="containsText" text=" lunes a viernes (sin festivos)">
      <formula>NOT(ISERROR(SEARCH(" lunes a viernes (sin festivos)",D9)))</formula>
    </cfRule>
  </conditionalFormatting>
  <conditionalFormatting sqref="D23:D1048576">
    <cfRule type="containsText" dxfId="22" priority="2" operator="containsText" text=" lunes a viernes (sin festivos)">
      <formula>NOT(ISERROR(SEARCH(" lunes a viernes (sin festivos)",D23)))</formula>
    </cfRule>
  </conditionalFormatting>
  <conditionalFormatting sqref="E9">
    <cfRule type="containsText" dxfId="21" priority="6" operator="containsText" text=" lunes a viernes (sin festivos)">
      <formula>NOT(ISERROR(SEARCH(" lunes a viernes (sin festivos)",E9)))</formula>
    </cfRule>
  </conditionalFormatting>
  <conditionalFormatting sqref="U1:U41 O11">
    <cfRule type="cellIs" dxfId="20" priority="4" operator="equal">
      <formula>"SGR"</formula>
    </cfRule>
  </conditionalFormatting>
  <conditionalFormatting sqref="U43:U50 U58:U1048576">
    <cfRule type="cellIs" dxfId="19" priority="7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69"/>
  <sheetViews>
    <sheetView showGridLines="0" topLeftCell="A14" zoomScale="60" zoomScaleNormal="60" workbookViewId="0">
      <selection activeCell="O42" sqref="O42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15.570312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15.140625" style="151" customWidth="1"/>
    <col min="12" max="12" width="28.140625" style="152" customWidth="1"/>
    <col min="13" max="13" width="20.5703125" style="152" bestFit="1" customWidth="1"/>
    <col min="14" max="14" width="15.42578125" style="86" customWidth="1"/>
    <col min="15" max="15" width="14" style="86" customWidth="1"/>
    <col min="16" max="16" width="19.85546875" style="153" customWidth="1"/>
    <col min="17" max="17" width="20.5703125" style="154" bestFit="1" customWidth="1"/>
    <col min="18" max="18" width="18.28515625" style="154" bestFit="1" customWidth="1"/>
    <col min="19" max="19" width="17" style="154" customWidth="1"/>
    <col min="20" max="20" width="21.28515625" style="155" customWidth="1"/>
    <col min="21" max="21" width="23.85546875" style="155" customWidth="1"/>
    <col min="22" max="16384" width="25.7109375" style="2"/>
  </cols>
  <sheetData>
    <row r="1" spans="1:24" ht="15.75">
      <c r="A1" s="1"/>
      <c r="B1" s="444" t="s">
        <v>22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</row>
    <row r="2" spans="1:24" ht="15.75">
      <c r="A2" s="1"/>
      <c r="B2" s="3"/>
      <c r="C2" s="4"/>
      <c r="D2" s="445" t="s">
        <v>23</v>
      </c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5"/>
      <c r="Q2" s="6"/>
      <c r="R2" s="7"/>
      <c r="S2" s="4"/>
      <c r="T2" s="4"/>
      <c r="U2" s="4"/>
    </row>
    <row r="3" spans="1:24" ht="15.75">
      <c r="A3" s="1"/>
      <c r="B3" s="3"/>
      <c r="C3" s="4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5"/>
      <c r="Q3" s="6"/>
      <c r="R3" s="8"/>
      <c r="S3" s="4"/>
      <c r="T3" s="4"/>
      <c r="U3" s="4"/>
    </row>
    <row r="4" spans="1:24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4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4" ht="15.75">
      <c r="A6" s="1"/>
      <c r="B6" s="13"/>
      <c r="C6" s="13"/>
      <c r="D6" s="9" t="s">
        <v>24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25</v>
      </c>
      <c r="Q6" s="19"/>
      <c r="R6" s="24"/>
      <c r="S6" s="21"/>
      <c r="T6" s="21"/>
      <c r="U6" s="21"/>
    </row>
    <row r="7" spans="1:24" ht="15.75">
      <c r="A7" s="1"/>
      <c r="B7" s="13"/>
      <c r="C7" s="13"/>
      <c r="D7" s="9" t="s">
        <v>26</v>
      </c>
      <c r="E7" s="272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4" ht="15.75">
      <c r="A8" s="1"/>
      <c r="B8" s="13"/>
      <c r="C8" s="13"/>
      <c r="D8" s="27" t="s">
        <v>27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28</v>
      </c>
      <c r="P8" s="17"/>
      <c r="Q8" s="30" t="s">
        <v>29</v>
      </c>
      <c r="R8" s="21"/>
      <c r="S8" s="21"/>
      <c r="T8" s="21"/>
      <c r="U8" s="21"/>
    </row>
    <row r="9" spans="1:24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30</v>
      </c>
      <c r="P9" s="17"/>
      <c r="Q9" s="30" t="s">
        <v>31</v>
      </c>
      <c r="R9" s="21"/>
      <c r="S9" s="21"/>
      <c r="T9" s="21"/>
      <c r="U9" s="21"/>
    </row>
    <row r="10" spans="1:24" ht="15.75">
      <c r="A10" s="1"/>
      <c r="B10" s="446" t="s">
        <v>32</v>
      </c>
      <c r="C10" s="446"/>
      <c r="D10" s="446"/>
      <c r="E10" s="446"/>
      <c r="F10" s="446"/>
      <c r="G10" s="446"/>
      <c r="H10" s="446"/>
      <c r="I10" s="446"/>
      <c r="J10" s="446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31"/>
    </row>
    <row r="11" spans="1:24" s="33" customFormat="1" ht="45.75" customHeight="1">
      <c r="A11" s="32"/>
      <c r="B11" s="173" t="s">
        <v>33</v>
      </c>
      <c r="C11" s="174" t="s">
        <v>34</v>
      </c>
      <c r="D11" s="174" t="s">
        <v>35</v>
      </c>
      <c r="E11" s="174" t="s">
        <v>36</v>
      </c>
      <c r="F11" s="174" t="s">
        <v>37</v>
      </c>
      <c r="G11" s="174" t="s">
        <v>38</v>
      </c>
      <c r="H11" s="174" t="s">
        <v>39</v>
      </c>
      <c r="I11" s="174" t="s">
        <v>40</v>
      </c>
      <c r="J11" s="174" t="s">
        <v>41</v>
      </c>
      <c r="K11" s="175" t="s">
        <v>26</v>
      </c>
      <c r="L11" s="176" t="s">
        <v>42</v>
      </c>
      <c r="M11" s="177" t="s">
        <v>43</v>
      </c>
      <c r="N11" s="178" t="s">
        <v>26</v>
      </c>
      <c r="O11" s="179" t="s">
        <v>44</v>
      </c>
      <c r="P11" s="177" t="s">
        <v>45</v>
      </c>
      <c r="Q11" s="177" t="s">
        <v>43</v>
      </c>
      <c r="R11" s="177" t="s">
        <v>46</v>
      </c>
      <c r="S11" s="177" t="s">
        <v>47</v>
      </c>
      <c r="T11" s="177" t="s">
        <v>4</v>
      </c>
      <c r="U11" s="179" t="s">
        <v>48</v>
      </c>
      <c r="X11" s="192">
        <v>0.03</v>
      </c>
    </row>
    <row r="12" spans="1:24" s="43" customFormat="1" ht="39" customHeight="1">
      <c r="A12" s="34"/>
      <c r="B12" s="447" t="s">
        <v>49</v>
      </c>
      <c r="C12" s="164">
        <v>2</v>
      </c>
      <c r="D12" s="165" t="s">
        <v>50</v>
      </c>
      <c r="E12" s="166" t="s">
        <v>51</v>
      </c>
      <c r="F12" s="166" t="s">
        <v>52</v>
      </c>
      <c r="G12" s="166">
        <v>11</v>
      </c>
      <c r="H12" s="166" t="s">
        <v>29</v>
      </c>
      <c r="I12" s="167">
        <v>13</v>
      </c>
      <c r="J12" s="415">
        <v>22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10558076.014002001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844646.08112016006</v>
      </c>
      <c r="Q12" s="170">
        <f>+M12+O12+P12</f>
        <v>11404720.09512216</v>
      </c>
      <c r="R12" s="170">
        <f>+Q12*10%</f>
        <v>1140472.0095122161</v>
      </c>
      <c r="S12" s="170">
        <f>+R12*19%</f>
        <v>216689.68180732106</v>
      </c>
      <c r="T12" s="170">
        <f>+Q12+S12</f>
        <v>11621409.776929481</v>
      </c>
      <c r="U12" s="172" t="s">
        <v>53</v>
      </c>
      <c r="W12" s="187">
        <v>2750</v>
      </c>
      <c r="X12" s="187">
        <f>(W12*$X$11)+W12</f>
        <v>2832.5</v>
      </c>
    </row>
    <row r="13" spans="1:24" s="43" customFormat="1" ht="39" customHeight="1">
      <c r="A13" s="34"/>
      <c r="B13" s="448"/>
      <c r="C13" s="164">
        <v>2</v>
      </c>
      <c r="D13" s="165" t="s">
        <v>54</v>
      </c>
      <c r="E13" s="166" t="s">
        <v>51</v>
      </c>
      <c r="F13" s="166" t="s">
        <v>52</v>
      </c>
      <c r="G13" s="166">
        <v>1</v>
      </c>
      <c r="H13" s="166" t="s">
        <v>31</v>
      </c>
      <c r="I13" s="167">
        <v>11</v>
      </c>
      <c r="J13" s="415">
        <v>22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1249226.594694</v>
      </c>
      <c r="N13" s="41">
        <f t="shared" ref="N13:N40" si="1">+IF(E13="SIN ARMA",8%,IF(E13="CON ARMA",10%,0))</f>
        <v>0.08</v>
      </c>
      <c r="O13" s="180">
        <f>+'ESTUDIO DE MERCADO_SEGURO'!$M8</f>
        <v>1548</v>
      </c>
      <c r="P13" s="40">
        <f t="shared" ref="P13:P40" si="2">+M13*N13</f>
        <v>99938.127575520004</v>
      </c>
      <c r="Q13" s="40">
        <f>+M13+O13+P13</f>
        <v>1350712.7222695199</v>
      </c>
      <c r="R13" s="40">
        <f t="shared" ref="R13:R40" si="3">+Q13*10%</f>
        <v>135071.27222695199</v>
      </c>
      <c r="S13" s="40">
        <f t="shared" ref="S13:S40" si="4">+R13*19%</f>
        <v>25663.541723120878</v>
      </c>
      <c r="T13" s="40">
        <f>+Q13+S13</f>
        <v>1376376.2639926409</v>
      </c>
      <c r="U13" s="42" t="s">
        <v>53</v>
      </c>
      <c r="W13" s="187">
        <v>1375</v>
      </c>
      <c r="X13" s="187">
        <f t="shared" ref="X13:X40" si="5">(W13*$X$11)+W13</f>
        <v>1416.25</v>
      </c>
    </row>
    <row r="14" spans="1:24" s="43" customFormat="1" ht="39" customHeight="1">
      <c r="A14" s="34"/>
      <c r="B14" s="448"/>
      <c r="C14" s="35">
        <v>1</v>
      </c>
      <c r="D14" s="165" t="s">
        <v>55</v>
      </c>
      <c r="E14" s="37" t="s">
        <v>51</v>
      </c>
      <c r="F14" s="37" t="s">
        <v>52</v>
      </c>
      <c r="G14" s="37">
        <f t="shared" ref="G14:G16" si="6">IF(F14="24 HORAS",24,IF(F14="12 HORAS",12,0))</f>
        <v>12</v>
      </c>
      <c r="H14" s="37" t="s">
        <v>29</v>
      </c>
      <c r="I14" s="157">
        <v>13</v>
      </c>
      <c r="J14" s="162">
        <v>22</v>
      </c>
      <c r="K14" s="160">
        <f t="shared" ref="K14:K19" si="7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5758950.5530920001</v>
      </c>
      <c r="N14" s="41">
        <f t="shared" si="1"/>
        <v>0.08</v>
      </c>
      <c r="O14" s="180">
        <f>+'ESTUDIO DE MERCADO_SEGURO'!$M9</f>
        <v>1548</v>
      </c>
      <c r="P14" s="40">
        <f t="shared" si="2"/>
        <v>460716.04424736003</v>
      </c>
      <c r="Q14" s="40">
        <f t="shared" ref="Q14:Q40" si="8">+M14+O14+P14</f>
        <v>6221214.59733936</v>
      </c>
      <c r="R14" s="40">
        <f t="shared" si="3"/>
        <v>622121.459733936</v>
      </c>
      <c r="S14" s="40">
        <f t="shared" si="4"/>
        <v>118203.07734944785</v>
      </c>
      <c r="T14" s="40">
        <f t="shared" ref="T14:T40" si="9">+Q14+S14</f>
        <v>6339417.6746888077</v>
      </c>
      <c r="U14" s="42" t="s">
        <v>53</v>
      </c>
      <c r="W14" s="187">
        <v>1375</v>
      </c>
      <c r="X14" s="187">
        <f t="shared" si="5"/>
        <v>1416.25</v>
      </c>
    </row>
    <row r="15" spans="1:24" s="43" customFormat="1" ht="39" customHeight="1">
      <c r="A15" s="34"/>
      <c r="B15" s="448"/>
      <c r="C15" s="35">
        <v>1</v>
      </c>
      <c r="D15" s="165" t="s">
        <v>56</v>
      </c>
      <c r="E15" s="37" t="s">
        <v>51</v>
      </c>
      <c r="F15" s="37" t="s">
        <v>52</v>
      </c>
      <c r="G15" s="37">
        <f t="shared" si="6"/>
        <v>12</v>
      </c>
      <c r="H15" s="37" t="s">
        <v>29</v>
      </c>
      <c r="I15" s="157">
        <v>13</v>
      </c>
      <c r="J15" s="162">
        <v>22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0">IF(H15="N/a",(((K15*L15)/30))*J15*C15,(((K15*L15)/30)/I15)*G15*J15*C15)</f>
        <v>5758950.5530920001</v>
      </c>
      <c r="N15" s="41">
        <f t="shared" si="1"/>
        <v>0.08</v>
      </c>
      <c r="O15" s="180">
        <f>+'ESTUDIO DE MERCADO_SEGURO'!$M10</f>
        <v>1548</v>
      </c>
      <c r="P15" s="40">
        <f t="shared" si="2"/>
        <v>460716.04424736003</v>
      </c>
      <c r="Q15" s="40">
        <f t="shared" si="8"/>
        <v>6221214.59733936</v>
      </c>
      <c r="R15" s="40">
        <f t="shared" si="3"/>
        <v>622121.459733936</v>
      </c>
      <c r="S15" s="40">
        <f t="shared" si="4"/>
        <v>118203.07734944785</v>
      </c>
      <c r="T15" s="40">
        <f t="shared" si="9"/>
        <v>6339417.6746888077</v>
      </c>
      <c r="U15" s="42" t="s">
        <v>53</v>
      </c>
      <c r="W15" s="187">
        <v>1375</v>
      </c>
      <c r="X15" s="187">
        <f t="shared" si="5"/>
        <v>1416.25</v>
      </c>
    </row>
    <row r="16" spans="1:24" s="50" customFormat="1" ht="39" customHeight="1">
      <c r="A16" s="45"/>
      <c r="B16" s="448"/>
      <c r="C16" s="35">
        <v>1</v>
      </c>
      <c r="D16" s="165" t="s">
        <v>57</v>
      </c>
      <c r="E16" s="37" t="s">
        <v>51</v>
      </c>
      <c r="F16" s="37" t="s">
        <v>52</v>
      </c>
      <c r="G16" s="37">
        <f t="shared" si="6"/>
        <v>12</v>
      </c>
      <c r="H16" s="37" t="s">
        <v>29</v>
      </c>
      <c r="I16" s="157">
        <v>13</v>
      </c>
      <c r="J16" s="162">
        <v>22</v>
      </c>
      <c r="K16" s="160">
        <f t="shared" si="7"/>
        <v>17876740.050000001</v>
      </c>
      <c r="L16" s="169">
        <f t="shared" si="0"/>
        <v>0.47590000000000005</v>
      </c>
      <c r="M16" s="40">
        <f t="shared" si="10"/>
        <v>5758950.5530920001</v>
      </c>
      <c r="N16" s="47">
        <f t="shared" si="1"/>
        <v>0.08</v>
      </c>
      <c r="O16" s="180">
        <f>+'ESTUDIO DE MERCADO_SEGURO'!$M11</f>
        <v>2547</v>
      </c>
      <c r="P16" s="46">
        <f t="shared" si="2"/>
        <v>460716.04424736003</v>
      </c>
      <c r="Q16" s="48">
        <f t="shared" si="8"/>
        <v>6222213.59733936</v>
      </c>
      <c r="R16" s="46">
        <f t="shared" si="3"/>
        <v>622221.35973393603</v>
      </c>
      <c r="S16" s="46">
        <f t="shared" si="4"/>
        <v>118222.05834944785</v>
      </c>
      <c r="T16" s="46">
        <f t="shared" si="9"/>
        <v>6340435.6556888083</v>
      </c>
      <c r="U16" s="49" t="s">
        <v>53</v>
      </c>
      <c r="W16" s="188">
        <v>1875</v>
      </c>
      <c r="X16" s="187">
        <f t="shared" si="5"/>
        <v>1931.25</v>
      </c>
    </row>
    <row r="17" spans="1:24" s="50" customFormat="1" ht="39" customHeight="1">
      <c r="A17" s="45"/>
      <c r="B17" s="448"/>
      <c r="C17" s="35">
        <v>1</v>
      </c>
      <c r="D17" s="165" t="s">
        <v>58</v>
      </c>
      <c r="E17" s="38" t="s">
        <v>51</v>
      </c>
      <c r="F17" s="38" t="s">
        <v>59</v>
      </c>
      <c r="G17" s="38">
        <v>13</v>
      </c>
      <c r="H17" s="38" t="s">
        <v>29</v>
      </c>
      <c r="I17" s="157">
        <v>13</v>
      </c>
      <c r="J17" s="162">
        <v>30</v>
      </c>
      <c r="K17" s="160">
        <f t="shared" si="7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8657540.5897950009</v>
      </c>
      <c r="N17" s="47">
        <f t="shared" si="1"/>
        <v>0.08</v>
      </c>
      <c r="O17" s="180">
        <f>+'ESTUDIO DE MERCADO_SEGURO'!$M12</f>
        <v>1037</v>
      </c>
      <c r="P17" s="46">
        <f t="shared" si="2"/>
        <v>692603.24718360009</v>
      </c>
      <c r="Q17" s="48">
        <f t="shared" si="8"/>
        <v>9351180.8369786013</v>
      </c>
      <c r="R17" s="46">
        <f t="shared" si="3"/>
        <v>935118.08369786013</v>
      </c>
      <c r="S17" s="46">
        <f t="shared" si="4"/>
        <v>177672.43590259342</v>
      </c>
      <c r="T17" s="46">
        <f t="shared" si="9"/>
        <v>9528853.2728811949</v>
      </c>
      <c r="U17" s="49" t="s">
        <v>53</v>
      </c>
      <c r="W17" s="188">
        <v>625</v>
      </c>
      <c r="X17" s="187">
        <f t="shared" si="5"/>
        <v>643.75</v>
      </c>
    </row>
    <row r="18" spans="1:24" s="50" customFormat="1" ht="39" customHeight="1">
      <c r="A18" s="45"/>
      <c r="B18" s="448"/>
      <c r="C18" s="35">
        <v>1</v>
      </c>
      <c r="D18" s="165" t="s">
        <v>60</v>
      </c>
      <c r="E18" s="38" t="s">
        <v>51</v>
      </c>
      <c r="F18" s="38" t="s">
        <v>61</v>
      </c>
      <c r="G18" s="38">
        <v>11</v>
      </c>
      <c r="H18" s="38" t="s">
        <v>31</v>
      </c>
      <c r="I18" s="157">
        <v>11</v>
      </c>
      <c r="J18" s="162">
        <v>30</v>
      </c>
      <c r="K18" s="160">
        <f t="shared" si="7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9519199.4602049999</v>
      </c>
      <c r="N18" s="47">
        <f t="shared" si="1"/>
        <v>0.08</v>
      </c>
      <c r="O18" s="180">
        <f>+'ESTUDIO DE MERCADO_SEGURO'!$M13</f>
        <v>2865</v>
      </c>
      <c r="P18" s="46">
        <f t="shared" si="2"/>
        <v>761535.95681640005</v>
      </c>
      <c r="Q18" s="48">
        <f t="shared" si="8"/>
        <v>10283600.417021399</v>
      </c>
      <c r="R18" s="46">
        <f t="shared" si="3"/>
        <v>1028360.04170214</v>
      </c>
      <c r="S18" s="46">
        <f t="shared" si="4"/>
        <v>195388.4079234066</v>
      </c>
      <c r="T18" s="46">
        <f t="shared" si="9"/>
        <v>10478988.824944805</v>
      </c>
      <c r="U18" s="42" t="s">
        <v>3</v>
      </c>
      <c r="W18" s="188">
        <v>1875</v>
      </c>
      <c r="X18" s="187">
        <f t="shared" si="5"/>
        <v>1931.25</v>
      </c>
    </row>
    <row r="19" spans="1:24" s="50" customFormat="1" ht="39" customHeight="1">
      <c r="A19" s="45"/>
      <c r="B19" s="448"/>
      <c r="C19" s="35">
        <v>1</v>
      </c>
      <c r="D19" s="165" t="s">
        <v>62</v>
      </c>
      <c r="E19" s="38" t="s">
        <v>51</v>
      </c>
      <c r="F19" s="38" t="s">
        <v>52</v>
      </c>
      <c r="G19" s="38">
        <v>12</v>
      </c>
      <c r="H19" s="38" t="s">
        <v>29</v>
      </c>
      <c r="I19" s="157">
        <v>13</v>
      </c>
      <c r="J19" s="162">
        <v>26</v>
      </c>
      <c r="K19" s="160">
        <f t="shared" si="7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7301032.4718359997</v>
      </c>
      <c r="N19" s="53">
        <f t="shared" si="1"/>
        <v>0.08</v>
      </c>
      <c r="O19" s="180">
        <f>+'ESTUDIO DE MERCADO_SEGURO'!$M14</f>
        <v>2328</v>
      </c>
      <c r="P19" s="52">
        <f>+M19*N19</f>
        <v>584082.59774688003</v>
      </c>
      <c r="Q19" s="52">
        <f t="shared" si="8"/>
        <v>7887443.0695828795</v>
      </c>
      <c r="R19" s="52">
        <f>+Q19*10%</f>
        <v>788744.30695828795</v>
      </c>
      <c r="S19" s="52">
        <f t="shared" si="4"/>
        <v>149861.41832207472</v>
      </c>
      <c r="T19" s="52">
        <f t="shared" si="9"/>
        <v>8037304.4879049547</v>
      </c>
      <c r="U19" s="54" t="s">
        <v>53</v>
      </c>
      <c r="W19" s="188">
        <v>1250.0000000000007</v>
      </c>
      <c r="X19" s="187">
        <f t="shared" si="5"/>
        <v>1287.5000000000007</v>
      </c>
    </row>
    <row r="20" spans="1:24" s="43" customFormat="1" ht="39" customHeight="1">
      <c r="A20" s="34"/>
      <c r="B20" s="61" t="s">
        <v>63</v>
      </c>
      <c r="C20" s="35">
        <v>1</v>
      </c>
      <c r="D20" s="36" t="s">
        <v>64</v>
      </c>
      <c r="E20" s="37" t="s">
        <v>65</v>
      </c>
      <c r="F20" s="37" t="s">
        <v>66</v>
      </c>
      <c r="G20" s="37">
        <f t="shared" ref="G20:G40" si="11">IF(F20="24 HORAS",24,IF(F20="12 HORAS",12,0))</f>
        <v>24</v>
      </c>
      <c r="H20" s="37" t="s">
        <v>67</v>
      </c>
      <c r="I20" s="157">
        <f>IF(H20="N/A",1,IF(H20="NOCTURNO",9,IF(H20="DIURNO",15,0)))</f>
        <v>1</v>
      </c>
      <c r="J20" s="161">
        <v>30</v>
      </c>
      <c r="K20" s="160">
        <f t="shared" ref="K20:K40" si="12">+$E$6*$E$7</f>
        <v>17876740.050000001</v>
      </c>
      <c r="L20" s="39">
        <f t="shared" ref="L20:L40" si="13">+IF(F20="12 HORAS",IF(H20="DIURNO",55.97%,0),0)+IF(F20="12 HORAS",IF(H20="NOCTURNO",44.03%,0),1)</f>
        <v>1</v>
      </c>
      <c r="M20" s="44">
        <f t="shared" ref="M20:M40" si="14">IF(H20="N/a",(((K20*L20)/30))*J20*C20,(((K20*L20)/30)/I20)*G20*J20*C20)</f>
        <v>17876740.050000001</v>
      </c>
      <c r="N20" s="41">
        <f t="shared" si="1"/>
        <v>0.1</v>
      </c>
      <c r="O20" s="180">
        <f>+'ESTUDIO DE MERCADO_SEGURO'!$M15</f>
        <v>5100</v>
      </c>
      <c r="P20" s="40">
        <f t="shared" si="2"/>
        <v>1787674.0050000001</v>
      </c>
      <c r="Q20" s="40">
        <f t="shared" si="8"/>
        <v>19669514.055</v>
      </c>
      <c r="R20" s="40">
        <f t="shared" si="3"/>
        <v>1966951.4055000001</v>
      </c>
      <c r="S20" s="40">
        <f t="shared" si="4"/>
        <v>373720.76704500004</v>
      </c>
      <c r="T20" s="40">
        <f t="shared" si="9"/>
        <v>20043234.822044998</v>
      </c>
      <c r="U20" s="42" t="s">
        <v>53</v>
      </c>
      <c r="W20" s="187">
        <v>3750</v>
      </c>
      <c r="X20" s="187">
        <f t="shared" si="5"/>
        <v>3862.5</v>
      </c>
    </row>
    <row r="21" spans="1:24" s="57" customFormat="1" ht="39" customHeight="1">
      <c r="A21" s="1"/>
      <c r="B21" s="61" t="s">
        <v>68</v>
      </c>
      <c r="C21" s="35">
        <v>1</v>
      </c>
      <c r="D21" s="55" t="s">
        <v>69</v>
      </c>
      <c r="E21" s="38" t="s">
        <v>65</v>
      </c>
      <c r="F21" s="38" t="s">
        <v>66</v>
      </c>
      <c r="G21" s="38">
        <f t="shared" si="11"/>
        <v>24</v>
      </c>
      <c r="H21" s="37" t="s">
        <v>67</v>
      </c>
      <c r="I21" s="157">
        <f t="shared" ref="I21:I40" si="15">IF(H21="N/A",1,IF(H21="NOCTURNO",9,IF(H21="DIURNO",15,0)))</f>
        <v>1</v>
      </c>
      <c r="J21" s="161">
        <v>30</v>
      </c>
      <c r="K21" s="160">
        <f t="shared" si="12"/>
        <v>17876740.050000001</v>
      </c>
      <c r="L21" s="51">
        <f t="shared" si="13"/>
        <v>1</v>
      </c>
      <c r="M21" s="56">
        <f t="shared" si="14"/>
        <v>17876740.050000001</v>
      </c>
      <c r="N21" s="53">
        <f t="shared" si="1"/>
        <v>0.1</v>
      </c>
      <c r="O21" s="180">
        <f>+'ESTUDIO DE MERCADO_SEGURO'!$M16</f>
        <v>5100</v>
      </c>
      <c r="P21" s="52">
        <f t="shared" si="2"/>
        <v>1787674.0050000001</v>
      </c>
      <c r="Q21" s="40">
        <f t="shared" si="8"/>
        <v>19669514.055</v>
      </c>
      <c r="R21" s="52">
        <f t="shared" si="3"/>
        <v>1966951.4055000001</v>
      </c>
      <c r="S21" s="52">
        <f t="shared" si="4"/>
        <v>373720.76704500004</v>
      </c>
      <c r="T21" s="52">
        <f t="shared" si="9"/>
        <v>20043234.822044998</v>
      </c>
      <c r="U21" s="42" t="s">
        <v>53</v>
      </c>
      <c r="W21" s="189">
        <v>3750</v>
      </c>
      <c r="X21" s="187">
        <f t="shared" si="5"/>
        <v>3862.5</v>
      </c>
    </row>
    <row r="22" spans="1:24" s="57" customFormat="1" ht="39" customHeight="1">
      <c r="A22" s="1"/>
      <c r="B22" s="60" t="s">
        <v>70</v>
      </c>
      <c r="C22" s="35">
        <v>1</v>
      </c>
      <c r="D22" s="163" t="s">
        <v>71</v>
      </c>
      <c r="E22" s="58" t="s">
        <v>51</v>
      </c>
      <c r="F22" s="58" t="s">
        <v>52</v>
      </c>
      <c r="G22" s="58">
        <f>IF(F22="24 HORAS",24,IF(F22="12 HORAS",12,0))</f>
        <v>12</v>
      </c>
      <c r="H22" s="58" t="s">
        <v>29</v>
      </c>
      <c r="I22" s="158">
        <v>13</v>
      </c>
      <c r="J22" s="161">
        <v>22</v>
      </c>
      <c r="K22" s="160">
        <f t="shared" si="12"/>
        <v>17876740.050000001</v>
      </c>
      <c r="L22" s="169">
        <f t="shared" ref="L22" si="16">IF(H22="DIURNO",47.59%,IF(H22="NOCTURNO",52.41%,0))</f>
        <v>0.47590000000000005</v>
      </c>
      <c r="M22" s="44">
        <f>IF(H22="N/a",(((K22*L22)/30))*J22*C22,(((K22*L22)/30)/I22)*G22*J22*C22)</f>
        <v>5758950.5530920001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460716.04424736003</v>
      </c>
      <c r="Q22" s="40">
        <f>+M22+O22+P22</f>
        <v>6221214.59733936</v>
      </c>
      <c r="R22" s="44">
        <f>+Q22*10%</f>
        <v>622121.459733936</v>
      </c>
      <c r="S22" s="44">
        <f>+R22*19%</f>
        <v>118203.07734944785</v>
      </c>
      <c r="T22" s="44">
        <f>+Q22+S22</f>
        <v>6339417.6746888077</v>
      </c>
      <c r="U22" s="42" t="s">
        <v>3</v>
      </c>
      <c r="W22" s="189">
        <v>1081.3</v>
      </c>
      <c r="X22" s="187">
        <f t="shared" si="5"/>
        <v>1113.739</v>
      </c>
    </row>
    <row r="23" spans="1:24" s="57" customFormat="1" ht="39" customHeight="1">
      <c r="A23" s="1"/>
      <c r="B23" s="60" t="s">
        <v>72</v>
      </c>
      <c r="C23" s="35">
        <v>1</v>
      </c>
      <c r="D23" s="36" t="s">
        <v>73</v>
      </c>
      <c r="E23" s="37" t="s">
        <v>65</v>
      </c>
      <c r="F23" s="37" t="s">
        <v>66</v>
      </c>
      <c r="G23" s="37">
        <f t="shared" si="11"/>
        <v>24</v>
      </c>
      <c r="H23" s="37" t="s">
        <v>67</v>
      </c>
      <c r="I23" s="157">
        <f t="shared" si="15"/>
        <v>1</v>
      </c>
      <c r="J23" s="161">
        <v>30</v>
      </c>
      <c r="K23" s="160">
        <f t="shared" si="12"/>
        <v>17876740.050000001</v>
      </c>
      <c r="L23" s="39">
        <f t="shared" si="13"/>
        <v>1</v>
      </c>
      <c r="M23" s="40">
        <f t="shared" si="14"/>
        <v>17876740.050000001</v>
      </c>
      <c r="N23" s="41">
        <f t="shared" si="1"/>
        <v>0.1</v>
      </c>
      <c r="O23" s="180">
        <f>+'ESTUDIO DE MERCADO_SEGURO'!$M18</f>
        <v>5100</v>
      </c>
      <c r="P23" s="40">
        <f t="shared" si="2"/>
        <v>1787674.0050000001</v>
      </c>
      <c r="Q23" s="40">
        <f t="shared" si="8"/>
        <v>19669514.055</v>
      </c>
      <c r="R23" s="40">
        <f t="shared" si="3"/>
        <v>1966951.4055000001</v>
      </c>
      <c r="S23" s="40">
        <f t="shared" si="4"/>
        <v>373720.76704500004</v>
      </c>
      <c r="T23" s="40">
        <f t="shared" si="9"/>
        <v>20043234.822044998</v>
      </c>
      <c r="U23" s="42" t="s">
        <v>3</v>
      </c>
      <c r="W23" s="189">
        <v>3750</v>
      </c>
      <c r="X23" s="187">
        <f t="shared" si="5"/>
        <v>3862.5</v>
      </c>
    </row>
    <row r="24" spans="1:24" s="43" customFormat="1" ht="39" customHeight="1">
      <c r="A24" s="34"/>
      <c r="B24" s="61" t="s">
        <v>74</v>
      </c>
      <c r="C24" s="35">
        <v>1</v>
      </c>
      <c r="D24" s="55" t="s">
        <v>75</v>
      </c>
      <c r="E24" s="38" t="s">
        <v>65</v>
      </c>
      <c r="F24" s="38" t="s">
        <v>66</v>
      </c>
      <c r="G24" s="38">
        <f t="shared" si="11"/>
        <v>24</v>
      </c>
      <c r="H24" s="38" t="s">
        <v>67</v>
      </c>
      <c r="I24" s="157">
        <f t="shared" si="15"/>
        <v>1</v>
      </c>
      <c r="J24" s="161">
        <v>30</v>
      </c>
      <c r="K24" s="160">
        <f t="shared" si="12"/>
        <v>17876740.050000001</v>
      </c>
      <c r="L24" s="51">
        <f t="shared" si="13"/>
        <v>1</v>
      </c>
      <c r="M24" s="52">
        <f t="shared" si="14"/>
        <v>17876740.050000001</v>
      </c>
      <c r="N24" s="53">
        <f t="shared" si="1"/>
        <v>0.1</v>
      </c>
      <c r="O24" s="180">
        <f>+'ESTUDIO DE MERCADO_SEGURO'!$M19</f>
        <v>5100</v>
      </c>
      <c r="P24" s="52">
        <f t="shared" si="2"/>
        <v>1787674.0050000001</v>
      </c>
      <c r="Q24" s="40">
        <f t="shared" si="8"/>
        <v>19669514.055</v>
      </c>
      <c r="R24" s="52">
        <f t="shared" si="3"/>
        <v>1966951.4055000001</v>
      </c>
      <c r="S24" s="52">
        <f t="shared" si="4"/>
        <v>373720.76704500004</v>
      </c>
      <c r="T24" s="52">
        <f t="shared" si="9"/>
        <v>20043234.822044998</v>
      </c>
      <c r="U24" s="42" t="s">
        <v>53</v>
      </c>
      <c r="W24" s="187">
        <v>3750</v>
      </c>
      <c r="X24" s="187">
        <f t="shared" si="5"/>
        <v>3862.5</v>
      </c>
    </row>
    <row r="25" spans="1:24" s="43" customFormat="1" ht="39" customHeight="1">
      <c r="A25" s="34"/>
      <c r="B25" s="60" t="s">
        <v>76</v>
      </c>
      <c r="C25" s="35">
        <v>1</v>
      </c>
      <c r="D25" s="36" t="s">
        <v>77</v>
      </c>
      <c r="E25" s="37" t="s">
        <v>65</v>
      </c>
      <c r="F25" s="37" t="s">
        <v>66</v>
      </c>
      <c r="G25" s="37">
        <f t="shared" si="11"/>
        <v>24</v>
      </c>
      <c r="H25" s="37" t="s">
        <v>67</v>
      </c>
      <c r="I25" s="157">
        <f t="shared" si="15"/>
        <v>1</v>
      </c>
      <c r="J25" s="161">
        <v>30</v>
      </c>
      <c r="K25" s="160">
        <f t="shared" si="12"/>
        <v>17876740.050000001</v>
      </c>
      <c r="L25" s="39">
        <f t="shared" si="13"/>
        <v>1</v>
      </c>
      <c r="M25" s="40">
        <f t="shared" si="14"/>
        <v>17876740.050000001</v>
      </c>
      <c r="N25" s="41">
        <f t="shared" si="1"/>
        <v>0.1</v>
      </c>
      <c r="O25" s="180">
        <f>+'ESTUDIO DE MERCADO_SEGURO'!$M20</f>
        <v>5100</v>
      </c>
      <c r="P25" s="40">
        <f t="shared" si="2"/>
        <v>1787674.0050000001</v>
      </c>
      <c r="Q25" s="40">
        <f t="shared" si="8"/>
        <v>19669514.055</v>
      </c>
      <c r="R25" s="40">
        <f t="shared" si="3"/>
        <v>1966951.4055000001</v>
      </c>
      <c r="S25" s="40">
        <f t="shared" si="4"/>
        <v>373720.76704500004</v>
      </c>
      <c r="T25" s="40">
        <f t="shared" si="9"/>
        <v>20043234.822044998</v>
      </c>
      <c r="U25" s="42" t="s">
        <v>3</v>
      </c>
      <c r="W25" s="187">
        <v>3750</v>
      </c>
      <c r="X25" s="187">
        <f t="shared" si="5"/>
        <v>3862.5</v>
      </c>
    </row>
    <row r="26" spans="1:24" s="57" customFormat="1" ht="39" customHeight="1">
      <c r="A26" s="1"/>
      <c r="B26" s="60" t="s">
        <v>78</v>
      </c>
      <c r="C26" s="35">
        <v>1</v>
      </c>
      <c r="D26" s="55" t="s">
        <v>77</v>
      </c>
      <c r="E26" s="38" t="s">
        <v>65</v>
      </c>
      <c r="F26" s="38" t="s">
        <v>66</v>
      </c>
      <c r="G26" s="38">
        <f t="shared" si="11"/>
        <v>24</v>
      </c>
      <c r="H26" s="38" t="s">
        <v>67</v>
      </c>
      <c r="I26" s="157">
        <f t="shared" si="15"/>
        <v>1</v>
      </c>
      <c r="J26" s="161">
        <v>30</v>
      </c>
      <c r="K26" s="160">
        <f t="shared" si="12"/>
        <v>17876740.050000001</v>
      </c>
      <c r="L26" s="51">
        <f t="shared" si="13"/>
        <v>1</v>
      </c>
      <c r="M26" s="52">
        <f t="shared" si="14"/>
        <v>17876740.050000001</v>
      </c>
      <c r="N26" s="53">
        <f t="shared" si="1"/>
        <v>0.1</v>
      </c>
      <c r="O26" s="180">
        <f>+'ESTUDIO DE MERCADO_SEGURO'!$M21</f>
        <v>5100</v>
      </c>
      <c r="P26" s="52">
        <f t="shared" si="2"/>
        <v>1787674.0050000001</v>
      </c>
      <c r="Q26" s="40">
        <f t="shared" si="8"/>
        <v>19669514.055</v>
      </c>
      <c r="R26" s="52">
        <f t="shared" si="3"/>
        <v>1966951.4055000001</v>
      </c>
      <c r="S26" s="52">
        <f t="shared" si="4"/>
        <v>373720.76704500004</v>
      </c>
      <c r="T26" s="52">
        <f t="shared" si="9"/>
        <v>20043234.822044998</v>
      </c>
      <c r="U26" s="42" t="s">
        <v>3</v>
      </c>
      <c r="W26" s="189">
        <v>3750</v>
      </c>
      <c r="X26" s="187">
        <f t="shared" si="5"/>
        <v>3862.5</v>
      </c>
    </row>
    <row r="27" spans="1:24" s="57" customFormat="1" ht="39" customHeight="1">
      <c r="A27" s="1"/>
      <c r="B27" s="60" t="s">
        <v>79</v>
      </c>
      <c r="C27" s="35">
        <v>1</v>
      </c>
      <c r="D27" s="36" t="s">
        <v>80</v>
      </c>
      <c r="E27" s="37" t="s">
        <v>65</v>
      </c>
      <c r="F27" s="37" t="s">
        <v>66</v>
      </c>
      <c r="G27" s="37">
        <f t="shared" si="11"/>
        <v>24</v>
      </c>
      <c r="H27" s="37" t="s">
        <v>67</v>
      </c>
      <c r="I27" s="159">
        <f t="shared" si="15"/>
        <v>1</v>
      </c>
      <c r="J27" s="161">
        <v>30</v>
      </c>
      <c r="K27" s="160">
        <f t="shared" si="12"/>
        <v>17876740.050000001</v>
      </c>
      <c r="L27" s="39">
        <f t="shared" si="13"/>
        <v>1</v>
      </c>
      <c r="M27" s="40">
        <f t="shared" si="14"/>
        <v>17876740.050000001</v>
      </c>
      <c r="N27" s="41">
        <f t="shared" si="1"/>
        <v>0.1</v>
      </c>
      <c r="O27" s="180">
        <f>+'ESTUDIO DE MERCADO_SEGURO'!$M22</f>
        <v>5100</v>
      </c>
      <c r="P27" s="40">
        <f t="shared" si="2"/>
        <v>1787674.0050000001</v>
      </c>
      <c r="Q27" s="40">
        <f t="shared" si="8"/>
        <v>19669514.055</v>
      </c>
      <c r="R27" s="40">
        <f t="shared" si="3"/>
        <v>1966951.4055000001</v>
      </c>
      <c r="S27" s="40">
        <f t="shared" si="4"/>
        <v>373720.76704500004</v>
      </c>
      <c r="T27" s="40">
        <f t="shared" si="9"/>
        <v>20043234.822044998</v>
      </c>
      <c r="U27" s="42" t="s">
        <v>3</v>
      </c>
      <c r="W27" s="189">
        <v>3750</v>
      </c>
      <c r="X27" s="187">
        <f t="shared" si="5"/>
        <v>3862.5</v>
      </c>
    </row>
    <row r="28" spans="1:24" s="57" customFormat="1" ht="39" customHeight="1">
      <c r="A28" s="1"/>
      <c r="B28" s="60" t="s">
        <v>81</v>
      </c>
      <c r="C28" s="35">
        <v>1</v>
      </c>
      <c r="D28" s="55" t="s">
        <v>77</v>
      </c>
      <c r="E28" s="38" t="s">
        <v>65</v>
      </c>
      <c r="F28" s="38" t="s">
        <v>66</v>
      </c>
      <c r="G28" s="38">
        <f t="shared" si="11"/>
        <v>24</v>
      </c>
      <c r="H28" s="38" t="s">
        <v>67</v>
      </c>
      <c r="I28" s="157">
        <f t="shared" si="15"/>
        <v>1</v>
      </c>
      <c r="J28" s="161">
        <v>30</v>
      </c>
      <c r="K28" s="160">
        <f t="shared" si="12"/>
        <v>17876740.050000001</v>
      </c>
      <c r="L28" s="51">
        <f t="shared" si="13"/>
        <v>1</v>
      </c>
      <c r="M28" s="52">
        <f t="shared" si="14"/>
        <v>17876740.050000001</v>
      </c>
      <c r="N28" s="53">
        <f t="shared" si="1"/>
        <v>0.1</v>
      </c>
      <c r="O28" s="180">
        <f>+'ESTUDIO DE MERCADO_SEGURO'!$M23</f>
        <v>5100</v>
      </c>
      <c r="P28" s="52">
        <f t="shared" si="2"/>
        <v>1787674.0050000001</v>
      </c>
      <c r="Q28" s="40">
        <f t="shared" si="8"/>
        <v>19669514.055</v>
      </c>
      <c r="R28" s="52">
        <f t="shared" si="3"/>
        <v>1966951.4055000001</v>
      </c>
      <c r="S28" s="52">
        <f t="shared" si="4"/>
        <v>373720.76704500004</v>
      </c>
      <c r="T28" s="52">
        <f t="shared" si="9"/>
        <v>20043234.822044998</v>
      </c>
      <c r="U28" s="42" t="s">
        <v>3</v>
      </c>
      <c r="W28" s="189">
        <v>3750</v>
      </c>
      <c r="X28" s="187">
        <f t="shared" si="5"/>
        <v>3862.5</v>
      </c>
    </row>
    <row r="29" spans="1:24" s="57" customFormat="1" ht="39" customHeight="1">
      <c r="A29" s="1"/>
      <c r="B29" s="449" t="s">
        <v>82</v>
      </c>
      <c r="C29" s="35">
        <v>1</v>
      </c>
      <c r="D29" s="36" t="s">
        <v>77</v>
      </c>
      <c r="E29" s="37" t="s">
        <v>65</v>
      </c>
      <c r="F29" s="37" t="s">
        <v>66</v>
      </c>
      <c r="G29" s="37">
        <f t="shared" si="11"/>
        <v>24</v>
      </c>
      <c r="H29" s="37" t="s">
        <v>67</v>
      </c>
      <c r="I29" s="159">
        <f t="shared" si="15"/>
        <v>1</v>
      </c>
      <c r="J29" s="161">
        <v>30</v>
      </c>
      <c r="K29" s="160">
        <f t="shared" si="12"/>
        <v>17876740.050000001</v>
      </c>
      <c r="L29" s="39">
        <f t="shared" si="13"/>
        <v>1</v>
      </c>
      <c r="M29" s="40">
        <f t="shared" si="14"/>
        <v>17876740.050000001</v>
      </c>
      <c r="N29" s="41">
        <f t="shared" si="1"/>
        <v>0.1</v>
      </c>
      <c r="O29" s="180">
        <f>+'ESTUDIO DE MERCADO_SEGURO'!$M24</f>
        <v>5100</v>
      </c>
      <c r="P29" s="40">
        <f t="shared" si="2"/>
        <v>1787674.0050000001</v>
      </c>
      <c r="Q29" s="40">
        <f t="shared" si="8"/>
        <v>19669514.055</v>
      </c>
      <c r="R29" s="40">
        <f t="shared" si="3"/>
        <v>1966951.4055000001</v>
      </c>
      <c r="S29" s="40">
        <f t="shared" si="4"/>
        <v>373720.76704500004</v>
      </c>
      <c r="T29" s="40">
        <f t="shared" si="9"/>
        <v>20043234.822044998</v>
      </c>
      <c r="U29" s="42" t="s">
        <v>53</v>
      </c>
      <c r="W29" s="189">
        <v>3750</v>
      </c>
      <c r="X29" s="187">
        <f t="shared" si="5"/>
        <v>3862.5</v>
      </c>
    </row>
    <row r="30" spans="1:24" s="57" customFormat="1" ht="39" customHeight="1">
      <c r="A30" s="1"/>
      <c r="B30" s="449"/>
      <c r="C30" s="35">
        <v>1</v>
      </c>
      <c r="D30" s="36" t="s">
        <v>77</v>
      </c>
      <c r="E30" s="37" t="s">
        <v>65</v>
      </c>
      <c r="F30" s="37" t="s">
        <v>66</v>
      </c>
      <c r="G30" s="37">
        <f t="shared" si="11"/>
        <v>24</v>
      </c>
      <c r="H30" s="37" t="s">
        <v>67</v>
      </c>
      <c r="I30" s="159">
        <f t="shared" si="15"/>
        <v>1</v>
      </c>
      <c r="J30" s="161">
        <v>30</v>
      </c>
      <c r="K30" s="160">
        <f t="shared" si="12"/>
        <v>17876740.050000001</v>
      </c>
      <c r="L30" s="39">
        <f t="shared" si="13"/>
        <v>1</v>
      </c>
      <c r="M30" s="40">
        <f t="shared" si="14"/>
        <v>17876740.050000001</v>
      </c>
      <c r="N30" s="41">
        <f t="shared" si="1"/>
        <v>0.1</v>
      </c>
      <c r="O30" s="180">
        <f>+'ESTUDIO DE MERCADO_SEGURO'!$M25</f>
        <v>5100</v>
      </c>
      <c r="P30" s="40">
        <f t="shared" si="2"/>
        <v>1787674.0050000001</v>
      </c>
      <c r="Q30" s="40">
        <f t="shared" si="8"/>
        <v>19669514.055</v>
      </c>
      <c r="R30" s="40">
        <f t="shared" si="3"/>
        <v>1966951.4055000001</v>
      </c>
      <c r="S30" s="40">
        <f t="shared" si="4"/>
        <v>373720.76704500004</v>
      </c>
      <c r="T30" s="40">
        <f t="shared" si="9"/>
        <v>20043234.822044998</v>
      </c>
      <c r="U30" s="42" t="s">
        <v>3</v>
      </c>
      <c r="W30" s="189">
        <v>3750</v>
      </c>
      <c r="X30" s="187">
        <f t="shared" si="5"/>
        <v>3862.5</v>
      </c>
    </row>
    <row r="31" spans="1:24" s="57" customFormat="1" ht="39" customHeight="1">
      <c r="A31" s="1"/>
      <c r="B31" s="63" t="s">
        <v>83</v>
      </c>
      <c r="C31" s="35">
        <v>2</v>
      </c>
      <c r="D31" s="36" t="s">
        <v>84</v>
      </c>
      <c r="E31" s="37" t="s">
        <v>65</v>
      </c>
      <c r="F31" s="37" t="s">
        <v>66</v>
      </c>
      <c r="G31" s="37">
        <f t="shared" si="11"/>
        <v>24</v>
      </c>
      <c r="H31" s="37" t="s">
        <v>67</v>
      </c>
      <c r="I31" s="159">
        <f t="shared" si="15"/>
        <v>1</v>
      </c>
      <c r="J31" s="161">
        <v>30</v>
      </c>
      <c r="K31" s="160">
        <f t="shared" si="12"/>
        <v>17876740.050000001</v>
      </c>
      <c r="L31" s="39">
        <f t="shared" si="13"/>
        <v>1</v>
      </c>
      <c r="M31" s="40">
        <f t="shared" si="14"/>
        <v>35753480.100000001</v>
      </c>
      <c r="N31" s="41">
        <f t="shared" si="1"/>
        <v>0.1</v>
      </c>
      <c r="O31" s="180">
        <f>+'ESTUDIO DE MERCADO_SEGURO'!$M26</f>
        <v>5100</v>
      </c>
      <c r="P31" s="40">
        <f t="shared" si="2"/>
        <v>3575348.0100000002</v>
      </c>
      <c r="Q31" s="40">
        <f t="shared" si="8"/>
        <v>39333928.109999999</v>
      </c>
      <c r="R31" s="40">
        <f t="shared" si="3"/>
        <v>3933392.8110000002</v>
      </c>
      <c r="S31" s="40">
        <f t="shared" si="4"/>
        <v>747344.63409000007</v>
      </c>
      <c r="T31" s="40">
        <f t="shared" si="9"/>
        <v>40081272.744089998</v>
      </c>
      <c r="U31" s="42" t="s">
        <v>53</v>
      </c>
      <c r="W31" s="189">
        <v>3750</v>
      </c>
      <c r="X31" s="187">
        <f t="shared" si="5"/>
        <v>3862.5</v>
      </c>
    </row>
    <row r="32" spans="1:24" s="57" customFormat="1" ht="39" customHeight="1">
      <c r="A32" s="1"/>
      <c r="B32" s="60" t="s">
        <v>85</v>
      </c>
      <c r="C32" s="35">
        <v>1</v>
      </c>
      <c r="D32" s="55" t="s">
        <v>73</v>
      </c>
      <c r="E32" s="38" t="s">
        <v>65</v>
      </c>
      <c r="F32" s="38" t="s">
        <v>66</v>
      </c>
      <c r="G32" s="38">
        <f t="shared" si="11"/>
        <v>24</v>
      </c>
      <c r="H32" s="38" t="s">
        <v>67</v>
      </c>
      <c r="I32" s="157">
        <f t="shared" si="15"/>
        <v>1</v>
      </c>
      <c r="J32" s="161">
        <v>30</v>
      </c>
      <c r="K32" s="160">
        <f t="shared" si="12"/>
        <v>17876740.050000001</v>
      </c>
      <c r="L32" s="51">
        <f t="shared" si="13"/>
        <v>1</v>
      </c>
      <c r="M32" s="52">
        <f t="shared" si="14"/>
        <v>17876740.050000001</v>
      </c>
      <c r="N32" s="53">
        <f t="shared" si="1"/>
        <v>0.1</v>
      </c>
      <c r="O32" s="180">
        <f>+'ESTUDIO DE MERCADO_SEGURO'!$M27</f>
        <v>5100</v>
      </c>
      <c r="P32" s="52">
        <f t="shared" si="2"/>
        <v>1787674.0050000001</v>
      </c>
      <c r="Q32" s="40">
        <f t="shared" si="8"/>
        <v>19669514.055</v>
      </c>
      <c r="R32" s="52">
        <f t="shared" si="3"/>
        <v>1966951.4055000001</v>
      </c>
      <c r="S32" s="52">
        <f t="shared" si="4"/>
        <v>373720.76704500004</v>
      </c>
      <c r="T32" s="52">
        <f t="shared" si="9"/>
        <v>20043234.822044998</v>
      </c>
      <c r="U32" s="42" t="s">
        <v>3</v>
      </c>
      <c r="W32" s="189">
        <v>3750</v>
      </c>
      <c r="X32" s="187">
        <f t="shared" si="5"/>
        <v>3862.5</v>
      </c>
    </row>
    <row r="33" spans="1:24" s="57" customFormat="1" ht="39" customHeight="1">
      <c r="A33" s="1"/>
      <c r="B33" s="64" t="s">
        <v>86</v>
      </c>
      <c r="C33" s="35">
        <v>2</v>
      </c>
      <c r="D33" s="36" t="s">
        <v>87</v>
      </c>
      <c r="E33" s="37" t="s">
        <v>65</v>
      </c>
      <c r="F33" s="37" t="s">
        <v>66</v>
      </c>
      <c r="G33" s="37">
        <f t="shared" si="11"/>
        <v>24</v>
      </c>
      <c r="H33" s="37" t="s">
        <v>67</v>
      </c>
      <c r="I33" s="159">
        <f t="shared" si="15"/>
        <v>1</v>
      </c>
      <c r="J33" s="161">
        <v>30</v>
      </c>
      <c r="K33" s="160">
        <f t="shared" si="12"/>
        <v>17876740.050000001</v>
      </c>
      <c r="L33" s="39">
        <f t="shared" si="13"/>
        <v>1</v>
      </c>
      <c r="M33" s="40">
        <f t="shared" si="14"/>
        <v>35753480.100000001</v>
      </c>
      <c r="N33" s="41">
        <f t="shared" si="1"/>
        <v>0.1</v>
      </c>
      <c r="O33" s="180">
        <f>+'ESTUDIO DE MERCADO_SEGURO'!$M28</f>
        <v>5100</v>
      </c>
      <c r="P33" s="40">
        <f t="shared" si="2"/>
        <v>3575348.0100000002</v>
      </c>
      <c r="Q33" s="40">
        <f t="shared" si="8"/>
        <v>39333928.109999999</v>
      </c>
      <c r="R33" s="40">
        <f t="shared" si="3"/>
        <v>3933392.8110000002</v>
      </c>
      <c r="S33" s="40">
        <f t="shared" si="4"/>
        <v>747344.63409000007</v>
      </c>
      <c r="T33" s="40">
        <f t="shared" si="9"/>
        <v>40081272.744089998</v>
      </c>
      <c r="U33" s="42" t="s">
        <v>53</v>
      </c>
      <c r="W33" s="189">
        <v>3750</v>
      </c>
      <c r="X33" s="187">
        <f t="shared" si="5"/>
        <v>3862.5</v>
      </c>
    </row>
    <row r="34" spans="1:24" s="43" customFormat="1" ht="39" customHeight="1">
      <c r="A34" s="34"/>
      <c r="B34" s="62" t="s">
        <v>88</v>
      </c>
      <c r="C34" s="35">
        <v>1</v>
      </c>
      <c r="D34" s="55" t="s">
        <v>77</v>
      </c>
      <c r="E34" s="38" t="s">
        <v>65</v>
      </c>
      <c r="F34" s="38" t="s">
        <v>66</v>
      </c>
      <c r="G34" s="38">
        <f t="shared" si="11"/>
        <v>24</v>
      </c>
      <c r="H34" s="38" t="s">
        <v>67</v>
      </c>
      <c r="I34" s="157">
        <f t="shared" si="15"/>
        <v>1</v>
      </c>
      <c r="J34" s="161">
        <v>30</v>
      </c>
      <c r="K34" s="160">
        <f t="shared" si="12"/>
        <v>17876740.050000001</v>
      </c>
      <c r="L34" s="51">
        <f t="shared" si="13"/>
        <v>1</v>
      </c>
      <c r="M34" s="52">
        <f t="shared" si="14"/>
        <v>17876740.050000001</v>
      </c>
      <c r="N34" s="53">
        <f t="shared" si="1"/>
        <v>0.1</v>
      </c>
      <c r="O34" s="180">
        <f>+'ESTUDIO DE MERCADO_SEGURO'!$M29</f>
        <v>5100</v>
      </c>
      <c r="P34" s="52">
        <f t="shared" si="2"/>
        <v>1787674.0050000001</v>
      </c>
      <c r="Q34" s="40">
        <f t="shared" si="8"/>
        <v>19669514.055</v>
      </c>
      <c r="R34" s="52">
        <f t="shared" si="3"/>
        <v>1966951.4055000001</v>
      </c>
      <c r="S34" s="52">
        <f t="shared" si="4"/>
        <v>373720.76704500004</v>
      </c>
      <c r="T34" s="52">
        <f t="shared" si="9"/>
        <v>20043234.822044998</v>
      </c>
      <c r="U34" s="42" t="s">
        <v>3</v>
      </c>
      <c r="W34" s="187">
        <v>3750</v>
      </c>
      <c r="X34" s="187">
        <f t="shared" si="5"/>
        <v>3862.5</v>
      </c>
    </row>
    <row r="35" spans="1:24" s="43" customFormat="1" ht="39" customHeight="1">
      <c r="A35" s="34"/>
      <c r="B35" s="65" t="s">
        <v>89</v>
      </c>
      <c r="C35" s="35">
        <v>1</v>
      </c>
      <c r="D35" s="36" t="s">
        <v>73</v>
      </c>
      <c r="E35" s="37" t="s">
        <v>65</v>
      </c>
      <c r="F35" s="37" t="s">
        <v>66</v>
      </c>
      <c r="G35" s="37">
        <f t="shared" si="11"/>
        <v>24</v>
      </c>
      <c r="H35" s="37" t="s">
        <v>67</v>
      </c>
      <c r="I35" s="159">
        <f t="shared" si="15"/>
        <v>1</v>
      </c>
      <c r="J35" s="161">
        <v>30</v>
      </c>
      <c r="K35" s="160">
        <f t="shared" si="12"/>
        <v>17876740.050000001</v>
      </c>
      <c r="L35" s="39">
        <f t="shared" si="13"/>
        <v>1</v>
      </c>
      <c r="M35" s="40">
        <f t="shared" si="14"/>
        <v>17876740.050000001</v>
      </c>
      <c r="N35" s="41">
        <f t="shared" si="1"/>
        <v>0.1</v>
      </c>
      <c r="O35" s="180">
        <f>+'ESTUDIO DE MERCADO_SEGURO'!$M30</f>
        <v>5100</v>
      </c>
      <c r="P35" s="40">
        <f t="shared" si="2"/>
        <v>1787674.0050000001</v>
      </c>
      <c r="Q35" s="40">
        <f t="shared" si="8"/>
        <v>19669514.055</v>
      </c>
      <c r="R35" s="40">
        <f t="shared" si="3"/>
        <v>1966951.4055000001</v>
      </c>
      <c r="S35" s="40">
        <f t="shared" si="4"/>
        <v>373720.76704500004</v>
      </c>
      <c r="T35" s="40">
        <f t="shared" si="9"/>
        <v>20043234.822044998</v>
      </c>
      <c r="U35" s="42" t="s">
        <v>3</v>
      </c>
      <c r="W35" s="187">
        <v>3750</v>
      </c>
      <c r="X35" s="187">
        <f t="shared" si="5"/>
        <v>3862.5</v>
      </c>
    </row>
    <row r="36" spans="1:24" s="43" customFormat="1" ht="39" customHeight="1">
      <c r="A36" s="34"/>
      <c r="B36" s="60" t="s">
        <v>90</v>
      </c>
      <c r="C36" s="35">
        <v>1</v>
      </c>
      <c r="D36" s="55" t="s">
        <v>73</v>
      </c>
      <c r="E36" s="38" t="s">
        <v>65</v>
      </c>
      <c r="F36" s="38" t="s">
        <v>66</v>
      </c>
      <c r="G36" s="38">
        <f t="shared" si="11"/>
        <v>24</v>
      </c>
      <c r="H36" s="38" t="s">
        <v>67</v>
      </c>
      <c r="I36" s="157">
        <f t="shared" si="15"/>
        <v>1</v>
      </c>
      <c r="J36" s="161">
        <v>30</v>
      </c>
      <c r="K36" s="160">
        <f t="shared" si="12"/>
        <v>17876740.050000001</v>
      </c>
      <c r="L36" s="51">
        <f t="shared" si="13"/>
        <v>1</v>
      </c>
      <c r="M36" s="52">
        <f t="shared" si="14"/>
        <v>17876740.050000001</v>
      </c>
      <c r="N36" s="53">
        <f t="shared" si="1"/>
        <v>0.1</v>
      </c>
      <c r="O36" s="180">
        <f>+'ESTUDIO DE MERCADO_SEGURO'!$M31</f>
        <v>5100</v>
      </c>
      <c r="P36" s="52">
        <f t="shared" si="2"/>
        <v>1787674.0050000001</v>
      </c>
      <c r="Q36" s="40">
        <f t="shared" si="8"/>
        <v>19669514.055</v>
      </c>
      <c r="R36" s="52">
        <f t="shared" si="3"/>
        <v>1966951.4055000001</v>
      </c>
      <c r="S36" s="52">
        <f t="shared" si="4"/>
        <v>373720.76704500004</v>
      </c>
      <c r="T36" s="52">
        <f t="shared" si="9"/>
        <v>20043234.822044998</v>
      </c>
      <c r="U36" s="42" t="s">
        <v>3</v>
      </c>
      <c r="W36" s="187">
        <v>3750</v>
      </c>
      <c r="X36" s="187">
        <f t="shared" si="5"/>
        <v>3862.5</v>
      </c>
    </row>
    <row r="37" spans="1:24" s="43" customFormat="1" ht="39" customHeight="1">
      <c r="A37" s="34"/>
      <c r="B37" s="66" t="s">
        <v>91</v>
      </c>
      <c r="C37" s="35">
        <v>1</v>
      </c>
      <c r="D37" s="36" t="s">
        <v>75</v>
      </c>
      <c r="E37" s="37" t="s">
        <v>65</v>
      </c>
      <c r="F37" s="37" t="s">
        <v>66</v>
      </c>
      <c r="G37" s="37">
        <f t="shared" si="11"/>
        <v>24</v>
      </c>
      <c r="H37" s="37" t="s">
        <v>67</v>
      </c>
      <c r="I37" s="159">
        <f t="shared" si="15"/>
        <v>1</v>
      </c>
      <c r="J37" s="161">
        <v>30</v>
      </c>
      <c r="K37" s="160">
        <f t="shared" si="12"/>
        <v>17876740.050000001</v>
      </c>
      <c r="L37" s="39">
        <f t="shared" si="13"/>
        <v>1</v>
      </c>
      <c r="M37" s="40">
        <f t="shared" si="14"/>
        <v>17876740.050000001</v>
      </c>
      <c r="N37" s="41">
        <f t="shared" si="1"/>
        <v>0.1</v>
      </c>
      <c r="O37" s="180">
        <f>+'ESTUDIO DE MERCADO_SEGURO'!$M32</f>
        <v>5100</v>
      </c>
      <c r="P37" s="40">
        <f t="shared" si="2"/>
        <v>1787674.0050000001</v>
      </c>
      <c r="Q37" s="40">
        <f t="shared" si="8"/>
        <v>19669514.055</v>
      </c>
      <c r="R37" s="40">
        <f t="shared" si="3"/>
        <v>1966951.4055000001</v>
      </c>
      <c r="S37" s="40">
        <f t="shared" si="4"/>
        <v>373720.76704500004</v>
      </c>
      <c r="T37" s="40">
        <f t="shared" si="9"/>
        <v>20043234.822044998</v>
      </c>
      <c r="U37" s="42" t="s">
        <v>53</v>
      </c>
      <c r="W37" s="187">
        <v>3750</v>
      </c>
      <c r="X37" s="187">
        <f t="shared" si="5"/>
        <v>3862.5</v>
      </c>
    </row>
    <row r="38" spans="1:24" s="43" customFormat="1" ht="39" customHeight="1">
      <c r="A38" s="34"/>
      <c r="B38" s="67" t="s">
        <v>92</v>
      </c>
      <c r="C38" s="35">
        <v>1</v>
      </c>
      <c r="D38" s="55" t="s">
        <v>75</v>
      </c>
      <c r="E38" s="38" t="s">
        <v>65</v>
      </c>
      <c r="F38" s="38" t="s">
        <v>66</v>
      </c>
      <c r="G38" s="38">
        <f t="shared" si="11"/>
        <v>24</v>
      </c>
      <c r="H38" s="38" t="s">
        <v>67</v>
      </c>
      <c r="I38" s="157">
        <f t="shared" si="15"/>
        <v>1</v>
      </c>
      <c r="J38" s="161">
        <v>30</v>
      </c>
      <c r="K38" s="160">
        <f t="shared" si="12"/>
        <v>17876740.050000001</v>
      </c>
      <c r="L38" s="51">
        <f t="shared" si="13"/>
        <v>1</v>
      </c>
      <c r="M38" s="52">
        <f t="shared" si="14"/>
        <v>17876740.050000001</v>
      </c>
      <c r="N38" s="53">
        <f t="shared" si="1"/>
        <v>0.1</v>
      </c>
      <c r="O38" s="180">
        <f>+'ESTUDIO DE MERCADO_SEGURO'!$M33</f>
        <v>5100</v>
      </c>
      <c r="P38" s="52">
        <f t="shared" si="2"/>
        <v>1787674.0050000001</v>
      </c>
      <c r="Q38" s="40">
        <f t="shared" si="8"/>
        <v>19669514.055</v>
      </c>
      <c r="R38" s="52">
        <f t="shared" si="3"/>
        <v>1966951.4055000001</v>
      </c>
      <c r="S38" s="52">
        <f t="shared" si="4"/>
        <v>373720.76704500004</v>
      </c>
      <c r="T38" s="52">
        <f t="shared" si="9"/>
        <v>20043234.822044998</v>
      </c>
      <c r="U38" s="42" t="s">
        <v>53</v>
      </c>
      <c r="W38" s="187">
        <v>3750</v>
      </c>
      <c r="X38" s="187">
        <f t="shared" si="5"/>
        <v>3862.5</v>
      </c>
    </row>
    <row r="39" spans="1:24" s="43" customFormat="1" ht="39" customHeight="1">
      <c r="A39" s="34"/>
      <c r="B39" s="66" t="s">
        <v>93</v>
      </c>
      <c r="C39" s="35">
        <v>1</v>
      </c>
      <c r="D39" s="36" t="s">
        <v>94</v>
      </c>
      <c r="E39" s="37" t="s">
        <v>65</v>
      </c>
      <c r="F39" s="37" t="s">
        <v>66</v>
      </c>
      <c r="G39" s="37">
        <f t="shared" si="11"/>
        <v>24</v>
      </c>
      <c r="H39" s="37" t="s">
        <v>67</v>
      </c>
      <c r="I39" s="159">
        <f t="shared" si="15"/>
        <v>1</v>
      </c>
      <c r="J39" s="161">
        <v>30</v>
      </c>
      <c r="K39" s="160">
        <f t="shared" si="12"/>
        <v>17876740.050000001</v>
      </c>
      <c r="L39" s="39">
        <f t="shared" si="13"/>
        <v>1</v>
      </c>
      <c r="M39" s="40">
        <f t="shared" si="14"/>
        <v>17876740.050000001</v>
      </c>
      <c r="N39" s="41">
        <f t="shared" si="1"/>
        <v>0.1</v>
      </c>
      <c r="O39" s="180">
        <f>+'ESTUDIO DE MERCADO_SEGURO'!$M34</f>
        <v>5100</v>
      </c>
      <c r="P39" s="40">
        <f t="shared" si="2"/>
        <v>1787674.0050000001</v>
      </c>
      <c r="Q39" s="40">
        <f t="shared" si="8"/>
        <v>19669514.055</v>
      </c>
      <c r="R39" s="40">
        <f t="shared" si="3"/>
        <v>1966951.4055000001</v>
      </c>
      <c r="S39" s="40">
        <f t="shared" si="4"/>
        <v>373720.76704500004</v>
      </c>
      <c r="T39" s="40">
        <f t="shared" si="9"/>
        <v>20043234.822044998</v>
      </c>
      <c r="U39" s="42" t="s">
        <v>53</v>
      </c>
      <c r="W39" s="187">
        <v>3750</v>
      </c>
      <c r="X39" s="187">
        <f t="shared" si="5"/>
        <v>3862.5</v>
      </c>
    </row>
    <row r="40" spans="1:24" s="43" customFormat="1" ht="39" customHeight="1">
      <c r="A40" s="34"/>
      <c r="B40" s="68" t="s">
        <v>95</v>
      </c>
      <c r="C40" s="69">
        <v>1</v>
      </c>
      <c r="D40" s="70" t="s">
        <v>80</v>
      </c>
      <c r="E40" s="71" t="s">
        <v>51</v>
      </c>
      <c r="F40" s="71" t="s">
        <v>66</v>
      </c>
      <c r="G40" s="71">
        <f t="shared" si="11"/>
        <v>24</v>
      </c>
      <c r="H40" s="71" t="s">
        <v>67</v>
      </c>
      <c r="I40" s="71">
        <f t="shared" si="15"/>
        <v>1</v>
      </c>
      <c r="J40" s="72">
        <v>30</v>
      </c>
      <c r="K40" s="73">
        <f t="shared" si="12"/>
        <v>17876740.050000001</v>
      </c>
      <c r="L40" s="74">
        <f t="shared" si="13"/>
        <v>1</v>
      </c>
      <c r="M40" s="75">
        <f t="shared" si="14"/>
        <v>17876740.050000001</v>
      </c>
      <c r="N40" s="76">
        <f t="shared" si="1"/>
        <v>0.08</v>
      </c>
      <c r="O40" s="180">
        <f>+'ESTUDIO DE MERCADO_SEGURO'!$M35</f>
        <v>5100</v>
      </c>
      <c r="P40" s="75">
        <f t="shared" si="2"/>
        <v>1430139.2040000001</v>
      </c>
      <c r="Q40" s="75">
        <f t="shared" si="8"/>
        <v>19311979.254000001</v>
      </c>
      <c r="R40" s="75">
        <f t="shared" si="3"/>
        <v>1931197.9254000001</v>
      </c>
      <c r="S40" s="75">
        <f t="shared" si="4"/>
        <v>366927.60582600004</v>
      </c>
      <c r="T40" s="75">
        <f t="shared" si="9"/>
        <v>19678906.859826002</v>
      </c>
      <c r="U40" s="77" t="s">
        <v>3</v>
      </c>
      <c r="W40" s="187">
        <v>3750</v>
      </c>
      <c r="X40" s="187">
        <f t="shared" si="5"/>
        <v>3862.5</v>
      </c>
    </row>
    <row r="41" spans="1:24" ht="24.75" customHeight="1">
      <c r="A41" s="1"/>
      <c r="B41" s="450" t="s">
        <v>4</v>
      </c>
      <c r="C41" s="450"/>
      <c r="D41" s="450"/>
      <c r="E41" s="450"/>
      <c r="F41" s="450"/>
      <c r="G41" s="450"/>
      <c r="H41" s="450"/>
      <c r="I41" s="450"/>
      <c r="J41" s="450"/>
      <c r="K41" s="78"/>
      <c r="L41" s="79"/>
      <c r="M41" s="80">
        <f>SUM(M12:M40)</f>
        <v>453609158.44290018</v>
      </c>
      <c r="N41" s="81"/>
      <c r="O41" s="181">
        <f t="shared" ref="O41:T41" si="17">SUM(O12:O40)</f>
        <v>118967</v>
      </c>
      <c r="P41" s="81">
        <f t="shared" si="17"/>
        <v>43796963.496432014</v>
      </c>
      <c r="Q41" s="81">
        <f t="shared" si="17"/>
        <v>497525088.93933213</v>
      </c>
      <c r="R41" s="81">
        <f t="shared" si="17"/>
        <v>49752508.893933207</v>
      </c>
      <c r="S41" s="81">
        <f t="shared" si="17"/>
        <v>9452976.6898473054</v>
      </c>
      <c r="T41" s="81">
        <f t="shared" si="17"/>
        <v>506978065.62917918</v>
      </c>
      <c r="U41" s="82"/>
    </row>
    <row r="42" spans="1:24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4" ht="34.5" customHeight="1">
      <c r="A43" s="1"/>
      <c r="B43" s="451" t="s">
        <v>96</v>
      </c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87"/>
      <c r="N43" s="88"/>
      <c r="O43" s="88"/>
      <c r="P43" s="89"/>
      <c r="Q43" s="89"/>
      <c r="R43" s="89"/>
      <c r="S43" s="89"/>
      <c r="T43" s="88"/>
      <c r="U43" s="88"/>
    </row>
    <row r="44" spans="1:24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4" ht="15" customHeight="1">
      <c r="A45" s="1"/>
      <c r="B45" s="1"/>
      <c r="C45" s="1"/>
      <c r="D45" s="1" t="s">
        <v>97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43" t="s">
        <v>98</v>
      </c>
      <c r="S45" s="443"/>
      <c r="T45" s="100">
        <f>+M41</f>
        <v>453609158.44290018</v>
      </c>
      <c r="U45" s="101"/>
    </row>
    <row r="46" spans="1:24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43" t="s">
        <v>99</v>
      </c>
      <c r="S46" s="443"/>
      <c r="T46" s="100">
        <f>+P41</f>
        <v>43796963.496432014</v>
      </c>
      <c r="U46" s="101"/>
    </row>
    <row r="47" spans="1:24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43" t="s">
        <v>100</v>
      </c>
      <c r="S47" s="443"/>
      <c r="T47" s="102">
        <f>T45+T46+O41</f>
        <v>497525088.93933219</v>
      </c>
      <c r="U47" s="103"/>
    </row>
    <row r="48" spans="1:24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43" t="s">
        <v>101</v>
      </c>
      <c r="S48" s="443"/>
      <c r="T48" s="100">
        <f>+S41</f>
        <v>9452976.6898473054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56" t="s">
        <v>4</v>
      </c>
      <c r="S49" s="456"/>
      <c r="T49" s="106">
        <f>T47+T48</f>
        <v>506978065.62917948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57" t="s">
        <v>102</v>
      </c>
      <c r="F51" s="458"/>
      <c r="G51" s="458"/>
      <c r="H51" s="458"/>
      <c r="I51" s="459"/>
      <c r="J51" s="99" t="s">
        <v>98</v>
      </c>
      <c r="K51" s="110"/>
      <c r="L51" s="466">
        <f>SUMIF($U$12:$U$40,"anm",$M$12:$M$40)</f>
        <v>241686867.87960303</v>
      </c>
      <c r="M51" s="467"/>
      <c r="N51" s="111"/>
      <c r="O51" s="111"/>
      <c r="P51" s="112">
        <f>SUMIF($U$12:$U$39,"ANM",$U$12:$U$39)</f>
        <v>0</v>
      </c>
      <c r="Q51" s="468"/>
      <c r="R51" s="469" t="s">
        <v>3</v>
      </c>
      <c r="S51" s="470" t="s">
        <v>98</v>
      </c>
      <c r="T51" s="470"/>
      <c r="U51" s="100">
        <f>SUMIF($U$9:$U$40,"SGR",$M$9:$M$40)</f>
        <v>211922290.56329703</v>
      </c>
    </row>
    <row r="52" spans="1:21" ht="15.75">
      <c r="A52" s="105"/>
      <c r="B52" s="1"/>
      <c r="C52" s="1"/>
      <c r="D52" s="1"/>
      <c r="E52" s="460"/>
      <c r="F52" s="461"/>
      <c r="G52" s="461"/>
      <c r="H52" s="461"/>
      <c r="I52" s="462"/>
      <c r="J52" s="99" t="s">
        <v>99</v>
      </c>
      <c r="K52" s="110"/>
      <c r="L52" s="466">
        <f>SUMIF($U$12:$U$40,"anm",$P$12:$P$40)</f>
        <v>23267832.241368238</v>
      </c>
      <c r="M52" s="467"/>
      <c r="N52" s="111"/>
      <c r="O52" s="111"/>
      <c r="P52" s="112">
        <f>SUMIF($U$12:$U$39,"ANM",$U$12:$U$39)</f>
        <v>0</v>
      </c>
      <c r="Q52" s="468"/>
      <c r="R52" s="469"/>
      <c r="S52" s="470" t="s">
        <v>99</v>
      </c>
      <c r="T52" s="470"/>
      <c r="U52" s="114">
        <f>SUMIF($U$11:$U$40,"SGR",$P$11:$P$40)</f>
        <v>20529131.255063761</v>
      </c>
    </row>
    <row r="53" spans="1:21" ht="15.75">
      <c r="A53" s="1" t="s">
        <v>103</v>
      </c>
      <c r="B53" s="1"/>
      <c r="C53" s="1"/>
      <c r="D53" s="1"/>
      <c r="E53" s="460"/>
      <c r="F53" s="461"/>
      <c r="G53" s="461"/>
      <c r="H53" s="461"/>
      <c r="I53" s="462"/>
      <c r="J53" s="99" t="s">
        <v>104</v>
      </c>
      <c r="K53" s="113"/>
      <c r="L53" s="466">
        <f>SUMIF($U$12:$U$40,"anm",$O$12:$O$40)</f>
        <v>58454</v>
      </c>
      <c r="M53" s="467"/>
      <c r="N53" s="115"/>
      <c r="O53" s="115"/>
      <c r="P53" s="112"/>
      <c r="Q53" s="468"/>
      <c r="R53" s="469"/>
      <c r="S53" s="471" t="s">
        <v>104</v>
      </c>
      <c r="T53" s="472"/>
      <c r="U53" s="114">
        <f>SUMIF($U$12:$U$40,"SGR",$O$12:$O$40)</f>
        <v>60513</v>
      </c>
    </row>
    <row r="54" spans="1:21" ht="15.75">
      <c r="A54" s="1" t="s">
        <v>105</v>
      </c>
      <c r="B54" s="1"/>
      <c r="C54" s="1"/>
      <c r="D54" s="1"/>
      <c r="E54" s="460"/>
      <c r="F54" s="461"/>
      <c r="G54" s="461"/>
      <c r="H54" s="461"/>
      <c r="I54" s="462"/>
      <c r="J54" s="99" t="s">
        <v>100</v>
      </c>
      <c r="K54" s="110"/>
      <c r="L54" s="475">
        <f>L51+L52+L53</f>
        <v>265013154.12097126</v>
      </c>
      <c r="M54" s="476"/>
      <c r="N54" s="115"/>
      <c r="O54" s="115"/>
      <c r="P54" s="112">
        <f>SUMIF($U$12:$U$39,"ANM",$U$12:$U$39)</f>
        <v>0</v>
      </c>
      <c r="Q54" s="468"/>
      <c r="R54" s="469"/>
      <c r="S54" s="470" t="s">
        <v>100</v>
      </c>
      <c r="T54" s="470"/>
      <c r="U54" s="100">
        <f>U51+U52+U53</f>
        <v>232511934.81836081</v>
      </c>
    </row>
    <row r="55" spans="1:21" ht="15.75">
      <c r="A55" s="1" t="s">
        <v>106</v>
      </c>
      <c r="B55" s="1"/>
      <c r="C55" s="1"/>
      <c r="D55" s="1"/>
      <c r="E55" s="463"/>
      <c r="F55" s="464"/>
      <c r="G55" s="464"/>
      <c r="H55" s="464"/>
      <c r="I55" s="465"/>
      <c r="J55" s="99" t="s">
        <v>101</v>
      </c>
      <c r="K55" s="110"/>
      <c r="L55" s="477">
        <f>SUMIF($U$12:$U$40,"anm",$S$12:$S$40)</f>
        <v>5035249.9282984529</v>
      </c>
      <c r="M55" s="478"/>
      <c r="N55" s="115"/>
      <c r="O55" s="115"/>
      <c r="P55" s="116">
        <f>L56+U56</f>
        <v>506978065.62917936</v>
      </c>
      <c r="Q55" s="468"/>
      <c r="R55" s="469"/>
      <c r="S55" s="471" t="s">
        <v>101</v>
      </c>
      <c r="T55" s="472"/>
      <c r="U55" s="100">
        <f>SUMIF($U$9:$U$40,"SGR",$S$9:$S$40)</f>
        <v>4417726.7615488553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52" t="s">
        <v>4</v>
      </c>
      <c r="K56" s="453"/>
      <c r="L56" s="118">
        <f>L54+L55</f>
        <v>270048404.04926974</v>
      </c>
      <c r="M56" s="119"/>
      <c r="N56" s="120"/>
      <c r="O56" s="120"/>
      <c r="P56" s="121"/>
      <c r="Q56" s="122"/>
      <c r="R56" s="123"/>
      <c r="S56" s="454" t="s">
        <v>4</v>
      </c>
      <c r="T56" s="455"/>
      <c r="U56" s="182">
        <f>(U54+U55)</f>
        <v>236929661.57990965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107</v>
      </c>
      <c r="K57" s="125"/>
      <c r="L57" s="126"/>
      <c r="M57" s="127"/>
      <c r="N57" s="128"/>
      <c r="O57" s="128"/>
      <c r="P57" s="129"/>
      <c r="Q57" s="130"/>
      <c r="R57" s="130"/>
      <c r="S57" s="473" t="s">
        <v>107</v>
      </c>
      <c r="T57" s="474"/>
      <c r="U57" s="183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29"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">
    <cfRule type="containsText" dxfId="18" priority="5" operator="containsText" text=" lunes a viernes (sin festivos)">
      <formula>NOT(ISERROR(SEARCH(" lunes a viernes (sin festivos)",C4)))</formula>
    </cfRule>
  </conditionalFormatting>
  <conditionalFormatting sqref="D1:D7">
    <cfRule type="containsText" dxfId="17" priority="3" operator="containsText" text=" lunes a viernes (sin festivos)">
      <formula>NOT(ISERROR(SEARCH(" lunes a viernes (sin festivos)",D1)))</formula>
    </cfRule>
  </conditionalFormatting>
  <conditionalFormatting sqref="D9:D21">
    <cfRule type="containsText" dxfId="16" priority="1" operator="containsText" text=" lunes a viernes (sin festivos)">
      <formula>NOT(ISERROR(SEARCH(" lunes a viernes (sin festivos)",D9)))</formula>
    </cfRule>
  </conditionalFormatting>
  <conditionalFormatting sqref="D23:D1048576">
    <cfRule type="containsText" dxfId="15" priority="2" operator="containsText" text=" lunes a viernes (sin festivos)">
      <formula>NOT(ISERROR(SEARCH(" lunes a viernes (sin festivos)",D23)))</formula>
    </cfRule>
  </conditionalFormatting>
  <conditionalFormatting sqref="E9">
    <cfRule type="containsText" dxfId="14" priority="6" operator="containsText" text=" lunes a viernes (sin festivos)">
      <formula>NOT(ISERROR(SEARCH(" lunes a viernes (sin festivos)",E9)))</formula>
    </cfRule>
  </conditionalFormatting>
  <conditionalFormatting sqref="U1:U41 O11">
    <cfRule type="cellIs" dxfId="13" priority="4" operator="equal">
      <formula>"SGR"</formula>
    </cfRule>
  </conditionalFormatting>
  <conditionalFormatting sqref="U43:U50 U58:U1048576">
    <cfRule type="cellIs" dxfId="12" priority="7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69"/>
  <sheetViews>
    <sheetView showGridLines="0" topLeftCell="A21" zoomScale="60" zoomScaleNormal="60" workbookViewId="0">
      <selection activeCell="F45" sqref="F45"/>
    </sheetView>
  </sheetViews>
  <sheetFormatPr defaultColWidth="25.7109375" defaultRowHeight="14.25"/>
  <cols>
    <col min="1" max="1" width="1" style="2" customWidth="1"/>
    <col min="2" max="2" width="29.28515625" style="2" customWidth="1"/>
    <col min="3" max="3" width="14.42578125" style="2" customWidth="1"/>
    <col min="4" max="4" width="66.42578125" style="2" customWidth="1"/>
    <col min="5" max="5" width="18.85546875" style="2" customWidth="1"/>
    <col min="6" max="6" width="12.7109375" style="144" customWidth="1"/>
    <col min="7" max="7" width="11.42578125" style="144" customWidth="1"/>
    <col min="8" max="8" width="13" style="144" customWidth="1"/>
    <col min="9" max="9" width="9.42578125" style="2" customWidth="1"/>
    <col min="10" max="10" width="7.85546875" style="33" customWidth="1"/>
    <col min="11" max="11" width="22.5703125" style="151" customWidth="1"/>
    <col min="12" max="12" width="28.140625" style="152" customWidth="1"/>
    <col min="13" max="13" width="20.5703125" style="152" bestFit="1" customWidth="1"/>
    <col min="14" max="14" width="15.42578125" style="86" customWidth="1"/>
    <col min="15" max="15" width="14" style="86" customWidth="1"/>
    <col min="16" max="16" width="23.42578125" style="153" bestFit="1" customWidth="1"/>
    <col min="17" max="17" width="20.5703125" style="154" bestFit="1" customWidth="1"/>
    <col min="18" max="18" width="18.7109375" style="154" customWidth="1"/>
    <col min="19" max="19" width="17" style="154" customWidth="1"/>
    <col min="20" max="20" width="24.85546875" style="155" customWidth="1"/>
    <col min="21" max="21" width="23.85546875" style="155" customWidth="1"/>
    <col min="22" max="16384" width="25.7109375" style="2"/>
  </cols>
  <sheetData>
    <row r="1" spans="1:25" ht="15.75">
      <c r="A1" s="1"/>
      <c r="B1" s="444" t="s">
        <v>22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</row>
    <row r="2" spans="1:25" ht="15.75">
      <c r="A2" s="1"/>
      <c r="B2" s="3"/>
      <c r="C2" s="4"/>
      <c r="D2" s="445" t="s">
        <v>23</v>
      </c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5"/>
      <c r="Q2" s="6"/>
      <c r="R2" s="7"/>
      <c r="S2" s="4"/>
      <c r="T2" s="4"/>
      <c r="U2" s="4"/>
    </row>
    <row r="3" spans="1:25" ht="15.75">
      <c r="A3" s="1"/>
      <c r="B3" s="3"/>
      <c r="C3" s="4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5"/>
      <c r="Q3" s="6"/>
      <c r="R3" s="8"/>
      <c r="S3" s="4"/>
      <c r="T3" s="4"/>
      <c r="U3" s="4"/>
    </row>
    <row r="4" spans="1:25" ht="15.75">
      <c r="A4" s="1"/>
      <c r="B4" s="4"/>
      <c r="C4" s="9"/>
      <c r="D4" s="9"/>
      <c r="E4" s="10"/>
      <c r="F4" s="4"/>
      <c r="G4" s="4"/>
      <c r="H4" s="4"/>
      <c r="I4" s="4"/>
      <c r="J4" s="4"/>
      <c r="K4" s="11"/>
      <c r="L4" s="4"/>
      <c r="M4" s="4"/>
      <c r="N4" s="4"/>
      <c r="O4" s="4"/>
      <c r="P4" s="5"/>
      <c r="Q4" s="6"/>
      <c r="R4" s="12"/>
      <c r="S4" s="4"/>
      <c r="T4" s="4"/>
      <c r="U4" s="4"/>
    </row>
    <row r="5" spans="1:25" ht="15.75">
      <c r="A5" s="1"/>
      <c r="B5" s="13"/>
      <c r="C5" s="13"/>
      <c r="D5" s="9"/>
      <c r="E5" s="14"/>
      <c r="F5" s="13"/>
      <c r="G5" s="13"/>
      <c r="H5" s="13"/>
      <c r="I5" s="13"/>
      <c r="J5" s="13"/>
      <c r="K5" s="15"/>
      <c r="L5" s="4"/>
      <c r="M5" s="16"/>
      <c r="N5" s="17"/>
      <c r="O5" s="17"/>
      <c r="P5" s="18"/>
      <c r="Q5" s="19"/>
      <c r="R5" s="20"/>
      <c r="S5" s="21"/>
      <c r="T5" s="21"/>
      <c r="U5" s="21"/>
    </row>
    <row r="6" spans="1:25" ht="15.75">
      <c r="A6" s="1"/>
      <c r="B6" s="13"/>
      <c r="C6" s="13"/>
      <c r="D6" s="9" t="s">
        <v>24</v>
      </c>
      <c r="E6" s="22">
        <v>1750905</v>
      </c>
      <c r="F6" s="23"/>
      <c r="G6" s="23"/>
      <c r="H6" s="23"/>
      <c r="I6" s="23"/>
      <c r="J6" s="13"/>
      <c r="K6" s="11"/>
      <c r="L6" s="4"/>
      <c r="M6" s="16"/>
      <c r="N6" s="17"/>
      <c r="O6" s="17"/>
      <c r="P6" s="18" t="s">
        <v>25</v>
      </c>
      <c r="Q6" s="19"/>
      <c r="R6" s="24"/>
      <c r="S6" s="21"/>
      <c r="T6" s="21"/>
      <c r="U6" s="21"/>
    </row>
    <row r="7" spans="1:25" ht="15.75">
      <c r="A7" s="1"/>
      <c r="B7" s="13"/>
      <c r="C7" s="13"/>
      <c r="D7" s="9" t="s">
        <v>26</v>
      </c>
      <c r="E7" s="272">
        <v>10.210000000000001</v>
      </c>
      <c r="F7" s="23"/>
      <c r="G7" s="23"/>
      <c r="H7" s="25"/>
      <c r="I7" s="23"/>
      <c r="J7" s="13"/>
      <c r="K7" s="11"/>
      <c r="L7" s="16"/>
      <c r="M7" s="16"/>
      <c r="N7" s="17"/>
      <c r="O7" s="17"/>
      <c r="P7" s="18"/>
      <c r="Q7" s="26"/>
      <c r="R7" s="20"/>
      <c r="S7" s="21"/>
      <c r="T7" s="21"/>
      <c r="U7" s="21"/>
    </row>
    <row r="8" spans="1:25" ht="15.75">
      <c r="A8" s="1"/>
      <c r="B8" s="13"/>
      <c r="C8" s="13"/>
      <c r="D8" s="27" t="s">
        <v>27</v>
      </c>
      <c r="E8" s="28">
        <f>E6*E7</f>
        <v>17876740.050000001</v>
      </c>
      <c r="F8" s="23"/>
      <c r="G8" s="23"/>
      <c r="H8" s="23"/>
      <c r="I8" s="23"/>
      <c r="J8" s="13"/>
      <c r="K8" s="11"/>
      <c r="L8" s="16"/>
      <c r="M8" s="16"/>
      <c r="N8" s="29"/>
      <c r="O8" s="30" t="s">
        <v>28</v>
      </c>
      <c r="P8" s="17"/>
      <c r="Q8" s="30" t="s">
        <v>29</v>
      </c>
      <c r="R8" s="21"/>
      <c r="S8" s="21"/>
      <c r="T8" s="21"/>
      <c r="U8" s="21"/>
    </row>
    <row r="9" spans="1:25" ht="15.75">
      <c r="A9" s="1"/>
      <c r="B9" s="13"/>
      <c r="C9" s="13"/>
      <c r="D9" s="9"/>
      <c r="E9" s="9"/>
      <c r="F9" s="23"/>
      <c r="G9" s="23"/>
      <c r="H9" s="23"/>
      <c r="I9" s="23"/>
      <c r="J9" s="13"/>
      <c r="K9" s="11"/>
      <c r="L9" s="16"/>
      <c r="M9" s="16"/>
      <c r="N9" s="30"/>
      <c r="O9" s="30" t="s">
        <v>30</v>
      </c>
      <c r="P9" s="17"/>
      <c r="Q9" s="30" t="s">
        <v>31</v>
      </c>
      <c r="R9" s="21"/>
      <c r="S9" s="21"/>
      <c r="T9" s="21"/>
      <c r="U9" s="21"/>
    </row>
    <row r="10" spans="1:25" ht="15.75">
      <c r="A10" s="1"/>
      <c r="B10" s="446" t="s">
        <v>32</v>
      </c>
      <c r="C10" s="446"/>
      <c r="D10" s="446"/>
      <c r="E10" s="446"/>
      <c r="F10" s="446"/>
      <c r="G10" s="446"/>
      <c r="H10" s="446"/>
      <c r="I10" s="446"/>
      <c r="J10" s="446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31"/>
    </row>
    <row r="11" spans="1:25" s="33" customFormat="1" ht="49.5" customHeight="1">
      <c r="A11" s="32"/>
      <c r="B11" s="173" t="s">
        <v>33</v>
      </c>
      <c r="C11" s="174" t="s">
        <v>34</v>
      </c>
      <c r="D11" s="174" t="s">
        <v>35</v>
      </c>
      <c r="E11" s="174" t="s">
        <v>36</v>
      </c>
      <c r="F11" s="174" t="s">
        <v>37</v>
      </c>
      <c r="G11" s="174" t="s">
        <v>38</v>
      </c>
      <c r="H11" s="174" t="s">
        <v>39</v>
      </c>
      <c r="I11" s="174" t="s">
        <v>40</v>
      </c>
      <c r="J11" s="174" t="s">
        <v>41</v>
      </c>
      <c r="K11" s="175" t="s">
        <v>26</v>
      </c>
      <c r="L11" s="176" t="s">
        <v>42</v>
      </c>
      <c r="M11" s="177" t="s">
        <v>43</v>
      </c>
      <c r="N11" s="178" t="s">
        <v>26</v>
      </c>
      <c r="O11" s="179" t="s">
        <v>44</v>
      </c>
      <c r="P11" s="177" t="s">
        <v>45</v>
      </c>
      <c r="Q11" s="177" t="s">
        <v>43</v>
      </c>
      <c r="R11" s="177" t="s">
        <v>46</v>
      </c>
      <c r="S11" s="177" t="s">
        <v>47</v>
      </c>
      <c r="T11" s="177" t="s">
        <v>4</v>
      </c>
      <c r="U11" s="179" t="s">
        <v>48</v>
      </c>
      <c r="X11" s="192">
        <v>0.03</v>
      </c>
    </row>
    <row r="12" spans="1:25" s="43" customFormat="1" ht="34.5" customHeight="1">
      <c r="A12" s="34"/>
      <c r="B12" s="447" t="s">
        <v>49</v>
      </c>
      <c r="C12" s="164">
        <v>2</v>
      </c>
      <c r="D12" s="165" t="s">
        <v>50</v>
      </c>
      <c r="E12" s="166" t="s">
        <v>51</v>
      </c>
      <c r="F12" s="166" t="s">
        <v>52</v>
      </c>
      <c r="G12" s="166">
        <v>11</v>
      </c>
      <c r="H12" s="166" t="s">
        <v>29</v>
      </c>
      <c r="I12" s="167">
        <v>13</v>
      </c>
      <c r="J12" s="415">
        <v>15</v>
      </c>
      <c r="K12" s="168">
        <f>+$E$6*$E$7</f>
        <v>17876740.050000001</v>
      </c>
      <c r="L12" s="169">
        <f>IF(H12="DIURNO",47.59%,IF(H12="NOCTURNO",52.41%,0))</f>
        <v>0.47590000000000005</v>
      </c>
      <c r="M12" s="170">
        <f>IF(H12="N/a",(((K12*L12)/30))*J12*C12,(((K12*L12)/30)/I12)*G12*J12*C12)</f>
        <v>7198688.1913650008</v>
      </c>
      <c r="N12" s="171">
        <f>+IF(E12="SIN ARMA",8%,IF(E12="CON ARMA",10%,0))</f>
        <v>0.08</v>
      </c>
      <c r="O12" s="180">
        <f>+'ESTUDIO DE MERCADO_SEGURO'!$M7</f>
        <v>1998</v>
      </c>
      <c r="P12" s="170">
        <f>+M12*N12</f>
        <v>575895.05530920008</v>
      </c>
      <c r="Q12" s="170">
        <f>+M12+O12+P12</f>
        <v>7776581.2466742005</v>
      </c>
      <c r="R12" s="170">
        <f>+Q12*10%</f>
        <v>777658.12466742005</v>
      </c>
      <c r="S12" s="170">
        <f>+R12*19%</f>
        <v>147755.0436868098</v>
      </c>
      <c r="T12" s="170">
        <f>+Q12+S12</f>
        <v>7924336.2903610105</v>
      </c>
      <c r="U12" s="172" t="s">
        <v>53</v>
      </c>
      <c r="W12" s="187">
        <v>2750</v>
      </c>
      <c r="X12" s="187">
        <f>(W12*$X$11)+W12</f>
        <v>2832.5</v>
      </c>
      <c r="Y12" s="193">
        <f>X12/2</f>
        <v>1416.25</v>
      </c>
    </row>
    <row r="13" spans="1:25" s="43" customFormat="1" ht="34.5" customHeight="1">
      <c r="A13" s="34"/>
      <c r="B13" s="448"/>
      <c r="C13" s="164">
        <v>2</v>
      </c>
      <c r="D13" s="165" t="s">
        <v>54</v>
      </c>
      <c r="E13" s="166" t="s">
        <v>51</v>
      </c>
      <c r="F13" s="166" t="s">
        <v>52</v>
      </c>
      <c r="G13" s="166">
        <v>1</v>
      </c>
      <c r="H13" s="166" t="s">
        <v>31</v>
      </c>
      <c r="I13" s="167">
        <v>11</v>
      </c>
      <c r="J13" s="415">
        <v>15</v>
      </c>
      <c r="K13" s="168">
        <f>+$E$6*$E$7</f>
        <v>17876740.050000001</v>
      </c>
      <c r="L13" s="169">
        <f t="shared" ref="L13:L19" si="0">IF(H13="DIURNO",47.59%,IF(H13="NOCTURNO",52.41%,0))</f>
        <v>0.52410000000000001</v>
      </c>
      <c r="M13" s="170">
        <f>IF(H13="N/a",(((K13*L13)/30))*J13*C13,(((K13*L13)/30)/I13)*G13*J13*C13)</f>
        <v>851745.40547318186</v>
      </c>
      <c r="N13" s="41">
        <f t="shared" ref="N13:N40" si="1">+IF(E13="SIN ARMA",8%,IF(E13="CON ARMA",10%,0))</f>
        <v>0.08</v>
      </c>
      <c r="O13" s="180">
        <f>+'ESTUDIO DE MERCADO_SEGURO'!$M8</f>
        <v>1548</v>
      </c>
      <c r="P13" s="40">
        <f t="shared" ref="P13:P40" si="2">+M13*N13</f>
        <v>68139.632437854554</v>
      </c>
      <c r="Q13" s="40">
        <f>+M13+O13+P13</f>
        <v>921433.0379110364</v>
      </c>
      <c r="R13" s="40">
        <f t="shared" ref="R13:R40" si="3">+Q13*10%</f>
        <v>92143.303791103652</v>
      </c>
      <c r="S13" s="40">
        <f t="shared" ref="S13:S40" si="4">+R13*19%</f>
        <v>17507.227720309693</v>
      </c>
      <c r="T13" s="40">
        <f>+Q13+S13</f>
        <v>938940.26563134615</v>
      </c>
      <c r="U13" s="42" t="s">
        <v>53</v>
      </c>
      <c r="W13" s="187">
        <v>1375</v>
      </c>
      <c r="X13" s="187">
        <f t="shared" ref="X13:X40" si="5">(W13*$X$11)+W13</f>
        <v>1416.25</v>
      </c>
      <c r="Y13" s="193">
        <f t="shared" ref="Y13:Y40" si="6">X13/2</f>
        <v>708.125</v>
      </c>
    </row>
    <row r="14" spans="1:25" s="43" customFormat="1" ht="34.5" customHeight="1">
      <c r="A14" s="34"/>
      <c r="B14" s="448"/>
      <c r="C14" s="35">
        <v>1</v>
      </c>
      <c r="D14" s="165" t="s">
        <v>55</v>
      </c>
      <c r="E14" s="37" t="s">
        <v>51</v>
      </c>
      <c r="F14" s="37" t="s">
        <v>52</v>
      </c>
      <c r="G14" s="37">
        <f t="shared" ref="G14:G16" si="7">IF(F14="24 HORAS",24,IF(F14="12 HORAS",12,0))</f>
        <v>12</v>
      </c>
      <c r="H14" s="37" t="s">
        <v>29</v>
      </c>
      <c r="I14" s="157">
        <v>13</v>
      </c>
      <c r="J14" s="162">
        <v>15</v>
      </c>
      <c r="K14" s="160">
        <f t="shared" ref="K14:K19" si="8">+$E$6*$E$7</f>
        <v>17876740.050000001</v>
      </c>
      <c r="L14" s="169">
        <f t="shared" si="0"/>
        <v>0.47590000000000005</v>
      </c>
      <c r="M14" s="40">
        <f>IF(H14="N/a",(((K14*L14)/30))*J14*C14,(((K14*L14)/30)/I14)*G14*J14*C14)</f>
        <v>3926557.1952900002</v>
      </c>
      <c r="N14" s="41">
        <f t="shared" si="1"/>
        <v>0.08</v>
      </c>
      <c r="O14" s="180">
        <f>+'ESTUDIO DE MERCADO_SEGURO'!$M9</f>
        <v>1548</v>
      </c>
      <c r="P14" s="40">
        <f t="shared" si="2"/>
        <v>314124.57562320004</v>
      </c>
      <c r="Q14" s="40">
        <f t="shared" ref="Q14:Q40" si="9">+M14+O14+P14</f>
        <v>4242229.7709132005</v>
      </c>
      <c r="R14" s="40">
        <f t="shared" si="3"/>
        <v>424222.97709132009</v>
      </c>
      <c r="S14" s="40">
        <f t="shared" si="4"/>
        <v>80602.365647350816</v>
      </c>
      <c r="T14" s="40">
        <f t="shared" ref="T14:T40" si="10">+Q14+S14</f>
        <v>4322832.1365605509</v>
      </c>
      <c r="U14" s="42" t="s">
        <v>53</v>
      </c>
      <c r="W14" s="187">
        <v>1375</v>
      </c>
      <c r="X14" s="187">
        <f t="shared" si="5"/>
        <v>1416.25</v>
      </c>
      <c r="Y14" s="193">
        <f t="shared" si="6"/>
        <v>708.125</v>
      </c>
    </row>
    <row r="15" spans="1:25" s="43" customFormat="1" ht="34.5" customHeight="1">
      <c r="A15" s="34"/>
      <c r="B15" s="448"/>
      <c r="C15" s="35">
        <v>1</v>
      </c>
      <c r="D15" s="165" t="s">
        <v>56</v>
      </c>
      <c r="E15" s="37" t="s">
        <v>51</v>
      </c>
      <c r="F15" s="37" t="s">
        <v>52</v>
      </c>
      <c r="G15" s="37">
        <f t="shared" si="7"/>
        <v>12</v>
      </c>
      <c r="H15" s="37" t="s">
        <v>29</v>
      </c>
      <c r="I15" s="157">
        <v>13</v>
      </c>
      <c r="J15" s="162">
        <v>15</v>
      </c>
      <c r="K15" s="160">
        <f>+$E$6*$E$7</f>
        <v>17876740.050000001</v>
      </c>
      <c r="L15" s="169">
        <f t="shared" si="0"/>
        <v>0.47590000000000005</v>
      </c>
      <c r="M15" s="40">
        <f t="shared" ref="M15:M16" si="11">IF(H15="N/a",(((K15*L15)/30))*J15*C15,(((K15*L15)/30)/I15)*G15*J15*C15)</f>
        <v>3926557.1952900002</v>
      </c>
      <c r="N15" s="41">
        <f t="shared" si="1"/>
        <v>0.08</v>
      </c>
      <c r="O15" s="180">
        <f>+'ESTUDIO DE MERCADO_SEGURO'!$M10</f>
        <v>1548</v>
      </c>
      <c r="P15" s="40">
        <f t="shared" si="2"/>
        <v>314124.57562320004</v>
      </c>
      <c r="Q15" s="40">
        <f t="shared" si="9"/>
        <v>4242229.7709132005</v>
      </c>
      <c r="R15" s="40">
        <f t="shared" si="3"/>
        <v>424222.97709132009</v>
      </c>
      <c r="S15" s="40">
        <f t="shared" si="4"/>
        <v>80602.365647350816</v>
      </c>
      <c r="T15" s="40">
        <f t="shared" si="10"/>
        <v>4322832.1365605509</v>
      </c>
      <c r="U15" s="42" t="s">
        <v>53</v>
      </c>
      <c r="W15" s="187">
        <v>1375</v>
      </c>
      <c r="X15" s="187">
        <f t="shared" si="5"/>
        <v>1416.25</v>
      </c>
      <c r="Y15" s="193">
        <f t="shared" si="6"/>
        <v>708.125</v>
      </c>
    </row>
    <row r="16" spans="1:25" s="50" customFormat="1" ht="34.5" customHeight="1">
      <c r="A16" s="45"/>
      <c r="B16" s="448"/>
      <c r="C16" s="35">
        <v>1</v>
      </c>
      <c r="D16" s="165" t="s">
        <v>57</v>
      </c>
      <c r="E16" s="37" t="s">
        <v>51</v>
      </c>
      <c r="F16" s="37" t="s">
        <v>52</v>
      </c>
      <c r="G16" s="37">
        <f t="shared" si="7"/>
        <v>12</v>
      </c>
      <c r="H16" s="37" t="s">
        <v>29</v>
      </c>
      <c r="I16" s="157">
        <v>13</v>
      </c>
      <c r="J16" s="162">
        <v>15</v>
      </c>
      <c r="K16" s="160">
        <f t="shared" si="8"/>
        <v>17876740.050000001</v>
      </c>
      <c r="L16" s="169">
        <f t="shared" si="0"/>
        <v>0.47590000000000005</v>
      </c>
      <c r="M16" s="40">
        <f t="shared" si="11"/>
        <v>3926557.1952900002</v>
      </c>
      <c r="N16" s="47">
        <f t="shared" si="1"/>
        <v>0.08</v>
      </c>
      <c r="O16" s="180">
        <f>+'ESTUDIO DE MERCADO_SEGURO'!$M11</f>
        <v>2547</v>
      </c>
      <c r="P16" s="46">
        <f t="shared" si="2"/>
        <v>314124.57562320004</v>
      </c>
      <c r="Q16" s="48">
        <f t="shared" si="9"/>
        <v>4243228.7709132005</v>
      </c>
      <c r="R16" s="46">
        <f t="shared" si="3"/>
        <v>424322.87709132006</v>
      </c>
      <c r="S16" s="46">
        <f t="shared" si="4"/>
        <v>80621.346647350816</v>
      </c>
      <c r="T16" s="46">
        <f t="shared" si="10"/>
        <v>4323850.1175605515</v>
      </c>
      <c r="U16" s="49" t="s">
        <v>53</v>
      </c>
      <c r="W16" s="188">
        <v>1875</v>
      </c>
      <c r="X16" s="187">
        <f t="shared" si="5"/>
        <v>1931.25</v>
      </c>
      <c r="Y16" s="193">
        <f t="shared" si="6"/>
        <v>965.625</v>
      </c>
    </row>
    <row r="17" spans="1:25" s="50" customFormat="1" ht="34.5" customHeight="1">
      <c r="A17" s="45"/>
      <c r="B17" s="448"/>
      <c r="C17" s="35">
        <v>1</v>
      </c>
      <c r="D17" s="165" t="s">
        <v>58</v>
      </c>
      <c r="E17" s="38" t="s">
        <v>51</v>
      </c>
      <c r="F17" s="38" t="s">
        <v>59</v>
      </c>
      <c r="G17" s="38">
        <v>13</v>
      </c>
      <c r="H17" s="38" t="s">
        <v>29</v>
      </c>
      <c r="I17" s="157">
        <v>13</v>
      </c>
      <c r="J17" s="162">
        <v>15</v>
      </c>
      <c r="K17" s="160">
        <f t="shared" si="8"/>
        <v>17876740.050000001</v>
      </c>
      <c r="L17" s="169">
        <f t="shared" si="0"/>
        <v>0.47590000000000005</v>
      </c>
      <c r="M17" s="52">
        <f>IF(H17="N/a",(((K17*L17)/30))*J17*C17,(((K17*L17)/30)/I17)*G17*J17*C17)+((150000/30)*30)</f>
        <v>4403770.2948975004</v>
      </c>
      <c r="N17" s="47">
        <f t="shared" si="1"/>
        <v>0.08</v>
      </c>
      <c r="O17" s="180">
        <f>+'ESTUDIO DE MERCADO_SEGURO'!$M12</f>
        <v>1037</v>
      </c>
      <c r="P17" s="46">
        <f t="shared" si="2"/>
        <v>352301.62359180005</v>
      </c>
      <c r="Q17" s="48">
        <f t="shared" si="9"/>
        <v>4757108.9184893006</v>
      </c>
      <c r="R17" s="46">
        <f t="shared" si="3"/>
        <v>475710.8918489301</v>
      </c>
      <c r="S17" s="46">
        <f t="shared" si="4"/>
        <v>90385.069451296717</v>
      </c>
      <c r="T17" s="46">
        <f t="shared" si="10"/>
        <v>4847493.9879405973</v>
      </c>
      <c r="U17" s="49" t="s">
        <v>53</v>
      </c>
      <c r="W17" s="188">
        <v>625</v>
      </c>
      <c r="X17" s="187">
        <f t="shared" si="5"/>
        <v>643.75</v>
      </c>
      <c r="Y17" s="193">
        <f t="shared" si="6"/>
        <v>321.875</v>
      </c>
    </row>
    <row r="18" spans="1:25" s="50" customFormat="1" ht="34.5" customHeight="1">
      <c r="A18" s="45"/>
      <c r="B18" s="448"/>
      <c r="C18" s="35">
        <v>1</v>
      </c>
      <c r="D18" s="165" t="s">
        <v>60</v>
      </c>
      <c r="E18" s="38" t="s">
        <v>51</v>
      </c>
      <c r="F18" s="38" t="s">
        <v>61</v>
      </c>
      <c r="G18" s="38">
        <v>11</v>
      </c>
      <c r="H18" s="38" t="s">
        <v>31</v>
      </c>
      <c r="I18" s="157">
        <v>11</v>
      </c>
      <c r="J18" s="162">
        <v>15</v>
      </c>
      <c r="K18" s="160">
        <f t="shared" si="8"/>
        <v>17876740.050000001</v>
      </c>
      <c r="L18" s="169">
        <f t="shared" si="0"/>
        <v>0.52410000000000001</v>
      </c>
      <c r="M18" s="52">
        <f>IF(H18="N/a",(((K18*L18)/30))*J18*C18,(((K18*L18)/30)/I18)*G18*J18*C18)+((150000/30)*30)</f>
        <v>4834599.7301024999</v>
      </c>
      <c r="N18" s="47">
        <f t="shared" si="1"/>
        <v>0.08</v>
      </c>
      <c r="O18" s="180">
        <f>+'ESTUDIO DE MERCADO_SEGURO'!$M13</f>
        <v>2865</v>
      </c>
      <c r="P18" s="46">
        <f t="shared" si="2"/>
        <v>386767.97840820003</v>
      </c>
      <c r="Q18" s="48">
        <f t="shared" si="9"/>
        <v>5224232.7085106997</v>
      </c>
      <c r="R18" s="46">
        <f t="shared" si="3"/>
        <v>522423.27085107</v>
      </c>
      <c r="S18" s="46">
        <f t="shared" si="4"/>
        <v>99260.421461703299</v>
      </c>
      <c r="T18" s="46">
        <f t="shared" si="10"/>
        <v>5323493.1299724029</v>
      </c>
      <c r="U18" s="42" t="s">
        <v>3</v>
      </c>
      <c r="W18" s="188">
        <v>1875</v>
      </c>
      <c r="X18" s="187">
        <f t="shared" si="5"/>
        <v>1931.25</v>
      </c>
      <c r="Y18" s="193">
        <f t="shared" si="6"/>
        <v>965.625</v>
      </c>
    </row>
    <row r="19" spans="1:25" s="50" customFormat="1" ht="34.5" customHeight="1">
      <c r="A19" s="45"/>
      <c r="B19" s="448"/>
      <c r="C19" s="35">
        <v>1</v>
      </c>
      <c r="D19" s="165" t="s">
        <v>62</v>
      </c>
      <c r="E19" s="38" t="s">
        <v>51</v>
      </c>
      <c r="F19" s="38" t="s">
        <v>52</v>
      </c>
      <c r="G19" s="38">
        <v>12</v>
      </c>
      <c r="H19" s="38" t="s">
        <v>29</v>
      </c>
      <c r="I19" s="157">
        <v>13</v>
      </c>
      <c r="J19" s="162">
        <v>15</v>
      </c>
      <c r="K19" s="160">
        <f t="shared" si="8"/>
        <v>17876740.050000001</v>
      </c>
      <c r="L19" s="169">
        <f t="shared" si="0"/>
        <v>0.47590000000000005</v>
      </c>
      <c r="M19" s="52">
        <f>IF(H19="N/a",(((K19*L19)/30))*J19*C19,(((K19*L19)/30)/I19)*G19*J19*C19)+((495000/30)*30)</f>
        <v>4421557.1952900002</v>
      </c>
      <c r="N19" s="53">
        <f t="shared" si="1"/>
        <v>0.08</v>
      </c>
      <c r="O19" s="180">
        <f>+'ESTUDIO DE MERCADO_SEGURO'!$M14</f>
        <v>2328</v>
      </c>
      <c r="P19" s="52">
        <f>+M19*N19</f>
        <v>353724.57562320004</v>
      </c>
      <c r="Q19" s="52">
        <f t="shared" si="9"/>
        <v>4777609.7709132005</v>
      </c>
      <c r="R19" s="52">
        <f>+Q19*10%</f>
        <v>477760.97709132009</v>
      </c>
      <c r="S19" s="52">
        <f t="shared" si="4"/>
        <v>90774.585647350817</v>
      </c>
      <c r="T19" s="52">
        <f t="shared" si="10"/>
        <v>4868384.3565605516</v>
      </c>
      <c r="U19" s="54" t="s">
        <v>53</v>
      </c>
      <c r="W19" s="188">
        <v>1250.0000000000007</v>
      </c>
      <c r="X19" s="187">
        <f t="shared" si="5"/>
        <v>1287.5000000000007</v>
      </c>
      <c r="Y19" s="193">
        <f t="shared" si="6"/>
        <v>643.75000000000034</v>
      </c>
    </row>
    <row r="20" spans="1:25" s="43" customFormat="1" ht="34.5" customHeight="1">
      <c r="A20" s="34"/>
      <c r="B20" s="61" t="s">
        <v>63</v>
      </c>
      <c r="C20" s="35">
        <v>1</v>
      </c>
      <c r="D20" s="36" t="s">
        <v>64</v>
      </c>
      <c r="E20" s="37" t="s">
        <v>65</v>
      </c>
      <c r="F20" s="37" t="s">
        <v>66</v>
      </c>
      <c r="G20" s="37">
        <f t="shared" ref="G20:G40" si="12">IF(F20="24 HORAS",24,IF(F20="12 HORAS",12,0))</f>
        <v>24</v>
      </c>
      <c r="H20" s="37" t="s">
        <v>67</v>
      </c>
      <c r="I20" s="157">
        <f>IF(H20="N/A",1,IF(H20="NOCTURNO",9,IF(H20="DIURNO",15,0)))</f>
        <v>1</v>
      </c>
      <c r="J20" s="161">
        <v>15</v>
      </c>
      <c r="K20" s="160">
        <f t="shared" ref="K20:K40" si="13">+$E$6*$E$7</f>
        <v>17876740.050000001</v>
      </c>
      <c r="L20" s="39">
        <f t="shared" ref="L20:L40" si="14">+IF(F20="12 HORAS",IF(H20="DIURNO",55.97%,0),0)+IF(F20="12 HORAS",IF(H20="NOCTURNO",44.03%,0),1)</f>
        <v>1</v>
      </c>
      <c r="M20" s="44">
        <f t="shared" ref="M20:M40" si="15">IF(H20="N/a",(((K20*L20)/30))*J20*C20,(((K20*L20)/30)/I20)*G20*J20*C20)</f>
        <v>8938370.0250000004</v>
      </c>
      <c r="N20" s="41">
        <f t="shared" si="1"/>
        <v>0.1</v>
      </c>
      <c r="O20" s="180">
        <f>+'ESTUDIO DE MERCADO_SEGURO'!$M15</f>
        <v>5100</v>
      </c>
      <c r="P20" s="40">
        <f t="shared" si="2"/>
        <v>893837.00250000006</v>
      </c>
      <c r="Q20" s="40">
        <f t="shared" si="9"/>
        <v>9837307.0274999999</v>
      </c>
      <c r="R20" s="40">
        <f t="shared" si="3"/>
        <v>983730.70275000005</v>
      </c>
      <c r="S20" s="40">
        <f t="shared" si="4"/>
        <v>186908.8335225</v>
      </c>
      <c r="T20" s="40">
        <f t="shared" si="10"/>
        <v>10024215.8610225</v>
      </c>
      <c r="U20" s="42" t="s">
        <v>53</v>
      </c>
      <c r="W20" s="187">
        <v>3750</v>
      </c>
      <c r="X20" s="187">
        <f t="shared" si="5"/>
        <v>3862.5</v>
      </c>
      <c r="Y20" s="193">
        <f t="shared" si="6"/>
        <v>1931.25</v>
      </c>
    </row>
    <row r="21" spans="1:25" s="57" customFormat="1" ht="34.5" customHeight="1">
      <c r="A21" s="1"/>
      <c r="B21" s="61" t="s">
        <v>68</v>
      </c>
      <c r="C21" s="35">
        <v>1</v>
      </c>
      <c r="D21" s="55" t="s">
        <v>69</v>
      </c>
      <c r="E21" s="38" t="s">
        <v>65</v>
      </c>
      <c r="F21" s="38" t="s">
        <v>66</v>
      </c>
      <c r="G21" s="38">
        <f t="shared" si="12"/>
        <v>24</v>
      </c>
      <c r="H21" s="37" t="s">
        <v>67</v>
      </c>
      <c r="I21" s="157">
        <f t="shared" ref="I21:I40" si="16">IF(H21="N/A",1,IF(H21="NOCTURNO",9,IF(H21="DIURNO",15,0)))</f>
        <v>1</v>
      </c>
      <c r="J21" s="161">
        <v>15</v>
      </c>
      <c r="K21" s="160">
        <f t="shared" si="13"/>
        <v>17876740.050000001</v>
      </c>
      <c r="L21" s="51">
        <f t="shared" si="14"/>
        <v>1</v>
      </c>
      <c r="M21" s="56">
        <f t="shared" si="15"/>
        <v>8938370.0250000004</v>
      </c>
      <c r="N21" s="53">
        <f t="shared" si="1"/>
        <v>0.1</v>
      </c>
      <c r="O21" s="180">
        <f>+'ESTUDIO DE MERCADO_SEGURO'!$M16</f>
        <v>5100</v>
      </c>
      <c r="P21" s="52">
        <f t="shared" si="2"/>
        <v>893837.00250000006</v>
      </c>
      <c r="Q21" s="40">
        <f t="shared" si="9"/>
        <v>9837307.0274999999</v>
      </c>
      <c r="R21" s="52">
        <f t="shared" si="3"/>
        <v>983730.70275000005</v>
      </c>
      <c r="S21" s="52">
        <f t="shared" si="4"/>
        <v>186908.8335225</v>
      </c>
      <c r="T21" s="52">
        <f t="shared" si="10"/>
        <v>10024215.8610225</v>
      </c>
      <c r="U21" s="42" t="s">
        <v>53</v>
      </c>
      <c r="W21" s="189">
        <v>3750</v>
      </c>
      <c r="X21" s="187">
        <f t="shared" si="5"/>
        <v>3862.5</v>
      </c>
      <c r="Y21" s="193">
        <f t="shared" si="6"/>
        <v>1931.25</v>
      </c>
    </row>
    <row r="22" spans="1:25" s="57" customFormat="1" ht="34.5" customHeight="1">
      <c r="A22" s="1"/>
      <c r="B22" s="60" t="s">
        <v>70</v>
      </c>
      <c r="C22" s="35">
        <v>1</v>
      </c>
      <c r="D22" s="163" t="s">
        <v>71</v>
      </c>
      <c r="E22" s="58" t="s">
        <v>51</v>
      </c>
      <c r="F22" s="58" t="s">
        <v>52</v>
      </c>
      <c r="G22" s="58">
        <f>IF(F22="24 HORAS",24,IF(F22="12 HORAS",12,0))</f>
        <v>12</v>
      </c>
      <c r="H22" s="58" t="s">
        <v>29</v>
      </c>
      <c r="I22" s="158">
        <v>13</v>
      </c>
      <c r="J22" s="161">
        <v>15</v>
      </c>
      <c r="K22" s="160">
        <f t="shared" si="13"/>
        <v>17876740.050000001</v>
      </c>
      <c r="L22" s="169">
        <f t="shared" ref="L22" si="17">IF(H22="DIURNO",47.59%,IF(H22="NOCTURNO",52.41%,0))</f>
        <v>0.47590000000000005</v>
      </c>
      <c r="M22" s="44">
        <f>IF(H22="N/a",(((K22*L22)/30))*J22*C22,(((K22*L22)/30)/I22)*G22*J22*C22)</f>
        <v>3926557.1952900002</v>
      </c>
      <c r="N22" s="59">
        <f>+IF(E22="SIN ARMA",8%,IF(E22="CON ARMA",10%,0))</f>
        <v>0.08</v>
      </c>
      <c r="O22" s="180">
        <f>+'ESTUDIO DE MERCADO_SEGURO'!$M17</f>
        <v>1548</v>
      </c>
      <c r="P22" s="44">
        <f>+M22*N22</f>
        <v>314124.57562320004</v>
      </c>
      <c r="Q22" s="40">
        <f>+M22+O22+P22</f>
        <v>4242229.7709132005</v>
      </c>
      <c r="R22" s="44">
        <f>+Q22*10%</f>
        <v>424222.97709132009</v>
      </c>
      <c r="S22" s="44">
        <f>+R22*19%</f>
        <v>80602.365647350816</v>
      </c>
      <c r="T22" s="44">
        <f>+Q22+S22</f>
        <v>4322832.1365605509</v>
      </c>
      <c r="U22" s="42" t="s">
        <v>3</v>
      </c>
      <c r="W22" s="189">
        <v>1081.3</v>
      </c>
      <c r="X22" s="187">
        <f t="shared" si="5"/>
        <v>1113.739</v>
      </c>
      <c r="Y22" s="193">
        <f t="shared" si="6"/>
        <v>556.86950000000002</v>
      </c>
    </row>
    <row r="23" spans="1:25" s="57" customFormat="1" ht="34.5" customHeight="1">
      <c r="A23" s="1"/>
      <c r="B23" s="60" t="s">
        <v>72</v>
      </c>
      <c r="C23" s="35">
        <v>1</v>
      </c>
      <c r="D23" s="36" t="s">
        <v>73</v>
      </c>
      <c r="E23" s="37" t="s">
        <v>65</v>
      </c>
      <c r="F23" s="37" t="s">
        <v>66</v>
      </c>
      <c r="G23" s="37">
        <f t="shared" si="12"/>
        <v>24</v>
      </c>
      <c r="H23" s="37" t="s">
        <v>67</v>
      </c>
      <c r="I23" s="157">
        <f t="shared" si="16"/>
        <v>1</v>
      </c>
      <c r="J23" s="161">
        <v>15</v>
      </c>
      <c r="K23" s="160">
        <f t="shared" si="13"/>
        <v>17876740.050000001</v>
      </c>
      <c r="L23" s="39">
        <f t="shared" si="14"/>
        <v>1</v>
      </c>
      <c r="M23" s="40">
        <f t="shared" si="15"/>
        <v>8938370.0250000004</v>
      </c>
      <c r="N23" s="41">
        <f t="shared" si="1"/>
        <v>0.1</v>
      </c>
      <c r="O23" s="180">
        <f>+'ESTUDIO DE MERCADO_SEGURO'!$M18</f>
        <v>5100</v>
      </c>
      <c r="P23" s="40">
        <f t="shared" si="2"/>
        <v>893837.00250000006</v>
      </c>
      <c r="Q23" s="40">
        <f t="shared" si="9"/>
        <v>9837307.0274999999</v>
      </c>
      <c r="R23" s="40">
        <f t="shared" si="3"/>
        <v>983730.70275000005</v>
      </c>
      <c r="S23" s="40">
        <f t="shared" si="4"/>
        <v>186908.8335225</v>
      </c>
      <c r="T23" s="40">
        <f t="shared" si="10"/>
        <v>10024215.8610225</v>
      </c>
      <c r="U23" s="42" t="s">
        <v>3</v>
      </c>
      <c r="W23" s="189">
        <v>3750</v>
      </c>
      <c r="X23" s="187">
        <f t="shared" si="5"/>
        <v>3862.5</v>
      </c>
      <c r="Y23" s="193">
        <f t="shared" si="6"/>
        <v>1931.25</v>
      </c>
    </row>
    <row r="24" spans="1:25" s="43" customFormat="1" ht="34.5" customHeight="1">
      <c r="A24" s="34"/>
      <c r="B24" s="61" t="s">
        <v>74</v>
      </c>
      <c r="C24" s="35">
        <v>1</v>
      </c>
      <c r="D24" s="55" t="s">
        <v>75</v>
      </c>
      <c r="E24" s="38" t="s">
        <v>65</v>
      </c>
      <c r="F24" s="38" t="s">
        <v>66</v>
      </c>
      <c r="G24" s="38">
        <f t="shared" si="12"/>
        <v>24</v>
      </c>
      <c r="H24" s="38" t="s">
        <v>67</v>
      </c>
      <c r="I24" s="157">
        <f t="shared" si="16"/>
        <v>1</v>
      </c>
      <c r="J24" s="161">
        <v>15</v>
      </c>
      <c r="K24" s="160">
        <f t="shared" si="13"/>
        <v>17876740.050000001</v>
      </c>
      <c r="L24" s="51">
        <f t="shared" si="14"/>
        <v>1</v>
      </c>
      <c r="M24" s="52">
        <f t="shared" si="15"/>
        <v>8938370.0250000004</v>
      </c>
      <c r="N24" s="53">
        <f t="shared" si="1"/>
        <v>0.1</v>
      </c>
      <c r="O24" s="180">
        <f>+'ESTUDIO DE MERCADO_SEGURO'!$M19</f>
        <v>5100</v>
      </c>
      <c r="P24" s="52">
        <f t="shared" si="2"/>
        <v>893837.00250000006</v>
      </c>
      <c r="Q24" s="40">
        <f t="shared" si="9"/>
        <v>9837307.0274999999</v>
      </c>
      <c r="R24" s="52">
        <f t="shared" si="3"/>
        <v>983730.70275000005</v>
      </c>
      <c r="S24" s="52">
        <f t="shared" si="4"/>
        <v>186908.8335225</v>
      </c>
      <c r="T24" s="52">
        <f t="shared" si="10"/>
        <v>10024215.8610225</v>
      </c>
      <c r="U24" s="42" t="s">
        <v>53</v>
      </c>
      <c r="W24" s="187">
        <v>3750</v>
      </c>
      <c r="X24" s="187">
        <f t="shared" si="5"/>
        <v>3862.5</v>
      </c>
      <c r="Y24" s="193">
        <f t="shared" si="6"/>
        <v>1931.25</v>
      </c>
    </row>
    <row r="25" spans="1:25" s="43" customFormat="1" ht="34.5" customHeight="1">
      <c r="A25" s="34"/>
      <c r="B25" s="60" t="s">
        <v>76</v>
      </c>
      <c r="C25" s="35">
        <v>1</v>
      </c>
      <c r="D25" s="36" t="s">
        <v>77</v>
      </c>
      <c r="E25" s="37" t="s">
        <v>65</v>
      </c>
      <c r="F25" s="37" t="s">
        <v>66</v>
      </c>
      <c r="G25" s="37">
        <f t="shared" si="12"/>
        <v>24</v>
      </c>
      <c r="H25" s="37" t="s">
        <v>67</v>
      </c>
      <c r="I25" s="157">
        <f t="shared" si="16"/>
        <v>1</v>
      </c>
      <c r="J25" s="161">
        <v>15</v>
      </c>
      <c r="K25" s="160">
        <f t="shared" si="13"/>
        <v>17876740.050000001</v>
      </c>
      <c r="L25" s="39">
        <f t="shared" si="14"/>
        <v>1</v>
      </c>
      <c r="M25" s="40">
        <f t="shared" si="15"/>
        <v>8938370.0250000004</v>
      </c>
      <c r="N25" s="41">
        <f t="shared" si="1"/>
        <v>0.1</v>
      </c>
      <c r="O25" s="180">
        <f>+'ESTUDIO DE MERCADO_SEGURO'!$M20</f>
        <v>5100</v>
      </c>
      <c r="P25" s="40">
        <f t="shared" si="2"/>
        <v>893837.00250000006</v>
      </c>
      <c r="Q25" s="40">
        <f t="shared" si="9"/>
        <v>9837307.0274999999</v>
      </c>
      <c r="R25" s="40">
        <f t="shared" si="3"/>
        <v>983730.70275000005</v>
      </c>
      <c r="S25" s="40">
        <f t="shared" si="4"/>
        <v>186908.8335225</v>
      </c>
      <c r="T25" s="40">
        <f t="shared" si="10"/>
        <v>10024215.8610225</v>
      </c>
      <c r="U25" s="42" t="s">
        <v>3</v>
      </c>
      <c r="W25" s="187">
        <v>3750</v>
      </c>
      <c r="X25" s="187">
        <f t="shared" si="5"/>
        <v>3862.5</v>
      </c>
      <c r="Y25" s="193">
        <f t="shared" si="6"/>
        <v>1931.25</v>
      </c>
    </row>
    <row r="26" spans="1:25" s="57" customFormat="1" ht="34.5" customHeight="1">
      <c r="A26" s="1"/>
      <c r="B26" s="60" t="s">
        <v>78</v>
      </c>
      <c r="C26" s="35">
        <v>1</v>
      </c>
      <c r="D26" s="55" t="s">
        <v>77</v>
      </c>
      <c r="E26" s="38" t="s">
        <v>65</v>
      </c>
      <c r="F26" s="38" t="s">
        <v>66</v>
      </c>
      <c r="G26" s="38">
        <f t="shared" si="12"/>
        <v>24</v>
      </c>
      <c r="H26" s="38" t="s">
        <v>67</v>
      </c>
      <c r="I26" s="157">
        <f t="shared" si="16"/>
        <v>1</v>
      </c>
      <c r="J26" s="161">
        <v>15</v>
      </c>
      <c r="K26" s="160">
        <f t="shared" si="13"/>
        <v>17876740.050000001</v>
      </c>
      <c r="L26" s="51">
        <f t="shared" si="14"/>
        <v>1</v>
      </c>
      <c r="M26" s="52">
        <f t="shared" si="15"/>
        <v>8938370.0250000004</v>
      </c>
      <c r="N26" s="53">
        <f t="shared" si="1"/>
        <v>0.1</v>
      </c>
      <c r="O26" s="180">
        <f>+'ESTUDIO DE MERCADO_SEGURO'!$M21</f>
        <v>5100</v>
      </c>
      <c r="P26" s="52">
        <f t="shared" si="2"/>
        <v>893837.00250000006</v>
      </c>
      <c r="Q26" s="40">
        <f t="shared" si="9"/>
        <v>9837307.0274999999</v>
      </c>
      <c r="R26" s="52">
        <f t="shared" si="3"/>
        <v>983730.70275000005</v>
      </c>
      <c r="S26" s="52">
        <f t="shared" si="4"/>
        <v>186908.8335225</v>
      </c>
      <c r="T26" s="52">
        <f t="shared" si="10"/>
        <v>10024215.8610225</v>
      </c>
      <c r="U26" s="42" t="s">
        <v>3</v>
      </c>
      <c r="W26" s="189">
        <v>3750</v>
      </c>
      <c r="X26" s="187">
        <f t="shared" si="5"/>
        <v>3862.5</v>
      </c>
      <c r="Y26" s="193">
        <f t="shared" si="6"/>
        <v>1931.25</v>
      </c>
    </row>
    <row r="27" spans="1:25" s="57" customFormat="1" ht="34.5" customHeight="1">
      <c r="A27" s="1"/>
      <c r="B27" s="60" t="s">
        <v>79</v>
      </c>
      <c r="C27" s="35">
        <v>1</v>
      </c>
      <c r="D27" s="36" t="s">
        <v>80</v>
      </c>
      <c r="E27" s="37" t="s">
        <v>65</v>
      </c>
      <c r="F27" s="37" t="s">
        <v>66</v>
      </c>
      <c r="G27" s="37">
        <f t="shared" si="12"/>
        <v>24</v>
      </c>
      <c r="H27" s="37" t="s">
        <v>67</v>
      </c>
      <c r="I27" s="159">
        <f t="shared" si="16"/>
        <v>1</v>
      </c>
      <c r="J27" s="161">
        <v>15</v>
      </c>
      <c r="K27" s="160">
        <f t="shared" si="13"/>
        <v>17876740.050000001</v>
      </c>
      <c r="L27" s="39">
        <f t="shared" si="14"/>
        <v>1</v>
      </c>
      <c r="M27" s="40">
        <f t="shared" si="15"/>
        <v>8938370.0250000004</v>
      </c>
      <c r="N27" s="41">
        <f t="shared" si="1"/>
        <v>0.1</v>
      </c>
      <c r="O27" s="180">
        <f>+'ESTUDIO DE MERCADO_SEGURO'!$M22</f>
        <v>5100</v>
      </c>
      <c r="P27" s="40">
        <f t="shared" si="2"/>
        <v>893837.00250000006</v>
      </c>
      <c r="Q27" s="40">
        <f t="shared" si="9"/>
        <v>9837307.0274999999</v>
      </c>
      <c r="R27" s="40">
        <f t="shared" si="3"/>
        <v>983730.70275000005</v>
      </c>
      <c r="S27" s="40">
        <f t="shared" si="4"/>
        <v>186908.8335225</v>
      </c>
      <c r="T27" s="40">
        <f t="shared" si="10"/>
        <v>10024215.8610225</v>
      </c>
      <c r="U27" s="42" t="s">
        <v>3</v>
      </c>
      <c r="W27" s="189">
        <v>3750</v>
      </c>
      <c r="X27" s="187">
        <f t="shared" si="5"/>
        <v>3862.5</v>
      </c>
      <c r="Y27" s="193">
        <f t="shared" si="6"/>
        <v>1931.25</v>
      </c>
    </row>
    <row r="28" spans="1:25" s="57" customFormat="1" ht="34.5" customHeight="1">
      <c r="A28" s="1"/>
      <c r="B28" s="60" t="s">
        <v>81</v>
      </c>
      <c r="C28" s="35">
        <v>1</v>
      </c>
      <c r="D28" s="55" t="s">
        <v>77</v>
      </c>
      <c r="E28" s="38" t="s">
        <v>65</v>
      </c>
      <c r="F28" s="38" t="s">
        <v>66</v>
      </c>
      <c r="G28" s="38">
        <f t="shared" si="12"/>
        <v>24</v>
      </c>
      <c r="H28" s="38" t="s">
        <v>67</v>
      </c>
      <c r="I28" s="157">
        <f t="shared" si="16"/>
        <v>1</v>
      </c>
      <c r="J28" s="161">
        <v>15</v>
      </c>
      <c r="K28" s="160">
        <f t="shared" si="13"/>
        <v>17876740.050000001</v>
      </c>
      <c r="L28" s="51">
        <f t="shared" si="14"/>
        <v>1</v>
      </c>
      <c r="M28" s="52">
        <f t="shared" si="15"/>
        <v>8938370.0250000004</v>
      </c>
      <c r="N28" s="53">
        <f t="shared" si="1"/>
        <v>0.1</v>
      </c>
      <c r="O28" s="180">
        <f>+'ESTUDIO DE MERCADO_SEGURO'!$M23</f>
        <v>5100</v>
      </c>
      <c r="P28" s="52">
        <f t="shared" si="2"/>
        <v>893837.00250000006</v>
      </c>
      <c r="Q28" s="40">
        <f t="shared" si="9"/>
        <v>9837307.0274999999</v>
      </c>
      <c r="R28" s="52">
        <f t="shared" si="3"/>
        <v>983730.70275000005</v>
      </c>
      <c r="S28" s="52">
        <f t="shared" si="4"/>
        <v>186908.8335225</v>
      </c>
      <c r="T28" s="52">
        <f t="shared" si="10"/>
        <v>10024215.8610225</v>
      </c>
      <c r="U28" s="42" t="s">
        <v>3</v>
      </c>
      <c r="W28" s="189">
        <v>3750</v>
      </c>
      <c r="X28" s="187">
        <f t="shared" si="5"/>
        <v>3862.5</v>
      </c>
      <c r="Y28" s="193">
        <f t="shared" si="6"/>
        <v>1931.25</v>
      </c>
    </row>
    <row r="29" spans="1:25" s="57" customFormat="1" ht="34.5" customHeight="1">
      <c r="A29" s="1"/>
      <c r="B29" s="449" t="s">
        <v>82</v>
      </c>
      <c r="C29" s="35">
        <v>1</v>
      </c>
      <c r="D29" s="36" t="s">
        <v>77</v>
      </c>
      <c r="E29" s="37" t="s">
        <v>65</v>
      </c>
      <c r="F29" s="37" t="s">
        <v>66</v>
      </c>
      <c r="G29" s="37">
        <f t="shared" si="12"/>
        <v>24</v>
      </c>
      <c r="H29" s="37" t="s">
        <v>67</v>
      </c>
      <c r="I29" s="159">
        <f t="shared" si="16"/>
        <v>1</v>
      </c>
      <c r="J29" s="161">
        <v>15</v>
      </c>
      <c r="K29" s="160">
        <f t="shared" si="13"/>
        <v>17876740.050000001</v>
      </c>
      <c r="L29" s="39">
        <f t="shared" si="14"/>
        <v>1</v>
      </c>
      <c r="M29" s="40">
        <f t="shared" si="15"/>
        <v>8938370.0250000004</v>
      </c>
      <c r="N29" s="41">
        <f t="shared" si="1"/>
        <v>0.1</v>
      </c>
      <c r="O29" s="180">
        <f>+'ESTUDIO DE MERCADO_SEGURO'!$M24</f>
        <v>5100</v>
      </c>
      <c r="P29" s="40">
        <f t="shared" si="2"/>
        <v>893837.00250000006</v>
      </c>
      <c r="Q29" s="40">
        <f t="shared" si="9"/>
        <v>9837307.0274999999</v>
      </c>
      <c r="R29" s="40">
        <f t="shared" si="3"/>
        <v>983730.70275000005</v>
      </c>
      <c r="S29" s="40">
        <f t="shared" si="4"/>
        <v>186908.8335225</v>
      </c>
      <c r="T29" s="40">
        <f t="shared" si="10"/>
        <v>10024215.8610225</v>
      </c>
      <c r="U29" s="42" t="s">
        <v>53</v>
      </c>
      <c r="W29" s="189">
        <v>3750</v>
      </c>
      <c r="X29" s="187">
        <f t="shared" si="5"/>
        <v>3862.5</v>
      </c>
      <c r="Y29" s="193">
        <f t="shared" si="6"/>
        <v>1931.25</v>
      </c>
    </row>
    <row r="30" spans="1:25" s="57" customFormat="1" ht="34.5" customHeight="1">
      <c r="A30" s="1"/>
      <c r="B30" s="449"/>
      <c r="C30" s="35">
        <v>1</v>
      </c>
      <c r="D30" s="36" t="s">
        <v>77</v>
      </c>
      <c r="E30" s="37" t="s">
        <v>65</v>
      </c>
      <c r="F30" s="37" t="s">
        <v>66</v>
      </c>
      <c r="G30" s="37">
        <f t="shared" si="12"/>
        <v>24</v>
      </c>
      <c r="H30" s="37" t="s">
        <v>67</v>
      </c>
      <c r="I30" s="159">
        <f t="shared" si="16"/>
        <v>1</v>
      </c>
      <c r="J30" s="161">
        <v>15</v>
      </c>
      <c r="K30" s="160">
        <f t="shared" si="13"/>
        <v>17876740.050000001</v>
      </c>
      <c r="L30" s="39">
        <f t="shared" si="14"/>
        <v>1</v>
      </c>
      <c r="M30" s="40">
        <f t="shared" si="15"/>
        <v>8938370.0250000004</v>
      </c>
      <c r="N30" s="41">
        <f t="shared" si="1"/>
        <v>0.1</v>
      </c>
      <c r="O30" s="180">
        <f>+'ESTUDIO DE MERCADO_SEGURO'!$M25</f>
        <v>5100</v>
      </c>
      <c r="P30" s="40">
        <f t="shared" si="2"/>
        <v>893837.00250000006</v>
      </c>
      <c r="Q30" s="40">
        <f t="shared" si="9"/>
        <v>9837307.0274999999</v>
      </c>
      <c r="R30" s="40">
        <f t="shared" si="3"/>
        <v>983730.70275000005</v>
      </c>
      <c r="S30" s="40">
        <f t="shared" si="4"/>
        <v>186908.8335225</v>
      </c>
      <c r="T30" s="40">
        <f t="shared" si="10"/>
        <v>10024215.8610225</v>
      </c>
      <c r="U30" s="42" t="s">
        <v>3</v>
      </c>
      <c r="W30" s="189">
        <v>3750</v>
      </c>
      <c r="X30" s="187">
        <f t="shared" si="5"/>
        <v>3862.5</v>
      </c>
      <c r="Y30" s="193">
        <f t="shared" si="6"/>
        <v>1931.25</v>
      </c>
    </row>
    <row r="31" spans="1:25" s="57" customFormat="1" ht="34.5" customHeight="1">
      <c r="A31" s="1"/>
      <c r="B31" s="63" t="s">
        <v>83</v>
      </c>
      <c r="C31" s="35">
        <v>2</v>
      </c>
      <c r="D31" s="36" t="s">
        <v>84</v>
      </c>
      <c r="E31" s="37" t="s">
        <v>65</v>
      </c>
      <c r="F31" s="37" t="s">
        <v>66</v>
      </c>
      <c r="G31" s="37">
        <f t="shared" si="12"/>
        <v>24</v>
      </c>
      <c r="H31" s="37" t="s">
        <v>67</v>
      </c>
      <c r="I31" s="159">
        <f t="shared" si="16"/>
        <v>1</v>
      </c>
      <c r="J31" s="161">
        <v>15</v>
      </c>
      <c r="K31" s="160">
        <f t="shared" si="13"/>
        <v>17876740.050000001</v>
      </c>
      <c r="L31" s="39">
        <f t="shared" si="14"/>
        <v>1</v>
      </c>
      <c r="M31" s="40">
        <f t="shared" si="15"/>
        <v>17876740.050000001</v>
      </c>
      <c r="N31" s="41">
        <f t="shared" si="1"/>
        <v>0.1</v>
      </c>
      <c r="O31" s="180">
        <f>+'ESTUDIO DE MERCADO_SEGURO'!$M26</f>
        <v>5100</v>
      </c>
      <c r="P31" s="40">
        <f t="shared" si="2"/>
        <v>1787674.0050000001</v>
      </c>
      <c r="Q31" s="40">
        <f t="shared" si="9"/>
        <v>19669514.055</v>
      </c>
      <c r="R31" s="40">
        <f t="shared" si="3"/>
        <v>1966951.4055000001</v>
      </c>
      <c r="S31" s="40">
        <f t="shared" si="4"/>
        <v>373720.76704500004</v>
      </c>
      <c r="T31" s="40">
        <f t="shared" si="10"/>
        <v>20043234.822044998</v>
      </c>
      <c r="U31" s="42" t="s">
        <v>53</v>
      </c>
      <c r="W31" s="189">
        <v>3750</v>
      </c>
      <c r="X31" s="187">
        <f t="shared" si="5"/>
        <v>3862.5</v>
      </c>
      <c r="Y31" s="193">
        <f t="shared" si="6"/>
        <v>1931.25</v>
      </c>
    </row>
    <row r="32" spans="1:25" s="57" customFormat="1" ht="34.5" customHeight="1">
      <c r="A32" s="1"/>
      <c r="B32" s="60" t="s">
        <v>85</v>
      </c>
      <c r="C32" s="35">
        <v>1</v>
      </c>
      <c r="D32" s="55" t="s">
        <v>73</v>
      </c>
      <c r="E32" s="38" t="s">
        <v>65</v>
      </c>
      <c r="F32" s="38" t="s">
        <v>66</v>
      </c>
      <c r="G32" s="38">
        <f t="shared" si="12"/>
        <v>24</v>
      </c>
      <c r="H32" s="38" t="s">
        <v>67</v>
      </c>
      <c r="I32" s="157">
        <f t="shared" si="16"/>
        <v>1</v>
      </c>
      <c r="J32" s="161">
        <v>15</v>
      </c>
      <c r="K32" s="160">
        <f t="shared" si="13"/>
        <v>17876740.050000001</v>
      </c>
      <c r="L32" s="51">
        <f t="shared" si="14"/>
        <v>1</v>
      </c>
      <c r="M32" s="52">
        <f t="shared" si="15"/>
        <v>8938370.0250000004</v>
      </c>
      <c r="N32" s="53">
        <f t="shared" si="1"/>
        <v>0.1</v>
      </c>
      <c r="O32" s="180">
        <f>+'ESTUDIO DE MERCADO_SEGURO'!$M27</f>
        <v>5100</v>
      </c>
      <c r="P32" s="52">
        <f t="shared" si="2"/>
        <v>893837.00250000006</v>
      </c>
      <c r="Q32" s="40">
        <f t="shared" si="9"/>
        <v>9837307.0274999999</v>
      </c>
      <c r="R32" s="52">
        <f t="shared" si="3"/>
        <v>983730.70275000005</v>
      </c>
      <c r="S32" s="52">
        <f t="shared" si="4"/>
        <v>186908.8335225</v>
      </c>
      <c r="T32" s="52">
        <f t="shared" si="10"/>
        <v>10024215.8610225</v>
      </c>
      <c r="U32" s="42" t="s">
        <v>3</v>
      </c>
      <c r="W32" s="189">
        <v>3750</v>
      </c>
      <c r="X32" s="187">
        <f t="shared" si="5"/>
        <v>3862.5</v>
      </c>
      <c r="Y32" s="193">
        <f t="shared" si="6"/>
        <v>1931.25</v>
      </c>
    </row>
    <row r="33" spans="1:25" s="57" customFormat="1" ht="34.5" customHeight="1">
      <c r="A33" s="1"/>
      <c r="B33" s="64" t="s">
        <v>86</v>
      </c>
      <c r="C33" s="35">
        <v>2</v>
      </c>
      <c r="D33" s="36" t="s">
        <v>87</v>
      </c>
      <c r="E33" s="37" t="s">
        <v>65</v>
      </c>
      <c r="F33" s="37" t="s">
        <v>66</v>
      </c>
      <c r="G33" s="37">
        <f t="shared" si="12"/>
        <v>24</v>
      </c>
      <c r="H33" s="37" t="s">
        <v>67</v>
      </c>
      <c r="I33" s="159">
        <f t="shared" si="16"/>
        <v>1</v>
      </c>
      <c r="J33" s="161">
        <v>15</v>
      </c>
      <c r="K33" s="160">
        <f t="shared" si="13"/>
        <v>17876740.050000001</v>
      </c>
      <c r="L33" s="39">
        <f t="shared" si="14"/>
        <v>1</v>
      </c>
      <c r="M33" s="40">
        <f t="shared" si="15"/>
        <v>17876740.050000001</v>
      </c>
      <c r="N33" s="41">
        <f t="shared" si="1"/>
        <v>0.1</v>
      </c>
      <c r="O33" s="180">
        <f>+'ESTUDIO DE MERCADO_SEGURO'!$M28</f>
        <v>5100</v>
      </c>
      <c r="P33" s="40">
        <f t="shared" si="2"/>
        <v>1787674.0050000001</v>
      </c>
      <c r="Q33" s="40">
        <f t="shared" si="9"/>
        <v>19669514.055</v>
      </c>
      <c r="R33" s="40">
        <f t="shared" si="3"/>
        <v>1966951.4055000001</v>
      </c>
      <c r="S33" s="40">
        <f t="shared" si="4"/>
        <v>373720.76704500004</v>
      </c>
      <c r="T33" s="40">
        <f t="shared" si="10"/>
        <v>20043234.822044998</v>
      </c>
      <c r="U33" s="42" t="s">
        <v>53</v>
      </c>
      <c r="W33" s="189">
        <v>3750</v>
      </c>
      <c r="X33" s="187">
        <f t="shared" si="5"/>
        <v>3862.5</v>
      </c>
      <c r="Y33" s="193">
        <f t="shared" si="6"/>
        <v>1931.25</v>
      </c>
    </row>
    <row r="34" spans="1:25" s="43" customFormat="1" ht="34.5" customHeight="1">
      <c r="A34" s="34"/>
      <c r="B34" s="62" t="s">
        <v>88</v>
      </c>
      <c r="C34" s="35">
        <v>1</v>
      </c>
      <c r="D34" s="55" t="s">
        <v>77</v>
      </c>
      <c r="E34" s="38" t="s">
        <v>65</v>
      </c>
      <c r="F34" s="38" t="s">
        <v>66</v>
      </c>
      <c r="G34" s="38">
        <f t="shared" si="12"/>
        <v>24</v>
      </c>
      <c r="H34" s="38" t="s">
        <v>67</v>
      </c>
      <c r="I34" s="157">
        <f t="shared" si="16"/>
        <v>1</v>
      </c>
      <c r="J34" s="161">
        <v>15</v>
      </c>
      <c r="K34" s="160">
        <f t="shared" si="13"/>
        <v>17876740.050000001</v>
      </c>
      <c r="L34" s="51">
        <f t="shared" si="14"/>
        <v>1</v>
      </c>
      <c r="M34" s="52">
        <f t="shared" si="15"/>
        <v>8938370.0250000004</v>
      </c>
      <c r="N34" s="53">
        <f t="shared" si="1"/>
        <v>0.1</v>
      </c>
      <c r="O34" s="180">
        <f>+'ESTUDIO DE MERCADO_SEGURO'!$M29</f>
        <v>5100</v>
      </c>
      <c r="P34" s="52">
        <f t="shared" si="2"/>
        <v>893837.00250000006</v>
      </c>
      <c r="Q34" s="40">
        <f t="shared" si="9"/>
        <v>9837307.0274999999</v>
      </c>
      <c r="R34" s="52">
        <f t="shared" si="3"/>
        <v>983730.70275000005</v>
      </c>
      <c r="S34" s="52">
        <f t="shared" si="4"/>
        <v>186908.8335225</v>
      </c>
      <c r="T34" s="52">
        <f t="shared" si="10"/>
        <v>10024215.8610225</v>
      </c>
      <c r="U34" s="42" t="s">
        <v>3</v>
      </c>
      <c r="W34" s="187">
        <v>3750</v>
      </c>
      <c r="X34" s="187">
        <f t="shared" si="5"/>
        <v>3862.5</v>
      </c>
      <c r="Y34" s="193">
        <f t="shared" si="6"/>
        <v>1931.25</v>
      </c>
    </row>
    <row r="35" spans="1:25" s="43" customFormat="1" ht="36.75" customHeight="1">
      <c r="A35" s="34"/>
      <c r="B35" s="65" t="s">
        <v>89</v>
      </c>
      <c r="C35" s="35">
        <v>1</v>
      </c>
      <c r="D35" s="36" t="s">
        <v>73</v>
      </c>
      <c r="E35" s="37" t="s">
        <v>65</v>
      </c>
      <c r="F35" s="37" t="s">
        <v>66</v>
      </c>
      <c r="G35" s="37">
        <f t="shared" si="12"/>
        <v>24</v>
      </c>
      <c r="H35" s="37" t="s">
        <v>67</v>
      </c>
      <c r="I35" s="159">
        <f t="shared" si="16"/>
        <v>1</v>
      </c>
      <c r="J35" s="161">
        <v>15</v>
      </c>
      <c r="K35" s="160">
        <f t="shared" si="13"/>
        <v>17876740.050000001</v>
      </c>
      <c r="L35" s="39">
        <f t="shared" si="14"/>
        <v>1</v>
      </c>
      <c r="M35" s="40">
        <f t="shared" si="15"/>
        <v>8938370.0250000004</v>
      </c>
      <c r="N35" s="41">
        <f t="shared" si="1"/>
        <v>0.1</v>
      </c>
      <c r="O35" s="180">
        <f>+'ESTUDIO DE MERCADO_SEGURO'!$M30</f>
        <v>5100</v>
      </c>
      <c r="P35" s="40">
        <f t="shared" si="2"/>
        <v>893837.00250000006</v>
      </c>
      <c r="Q35" s="40">
        <f t="shared" si="9"/>
        <v>9837307.0274999999</v>
      </c>
      <c r="R35" s="40">
        <f t="shared" si="3"/>
        <v>983730.70275000005</v>
      </c>
      <c r="S35" s="40">
        <f t="shared" si="4"/>
        <v>186908.8335225</v>
      </c>
      <c r="T35" s="40">
        <f t="shared" si="10"/>
        <v>10024215.8610225</v>
      </c>
      <c r="U35" s="42" t="s">
        <v>3</v>
      </c>
      <c r="W35" s="187">
        <v>3750</v>
      </c>
      <c r="X35" s="187">
        <f t="shared" si="5"/>
        <v>3862.5</v>
      </c>
      <c r="Y35" s="193">
        <f t="shared" si="6"/>
        <v>1931.25</v>
      </c>
    </row>
    <row r="36" spans="1:25" s="43" customFormat="1" ht="34.5" customHeight="1">
      <c r="A36" s="34"/>
      <c r="B36" s="60" t="s">
        <v>90</v>
      </c>
      <c r="C36" s="35">
        <v>1</v>
      </c>
      <c r="D36" s="55" t="s">
        <v>73</v>
      </c>
      <c r="E36" s="38" t="s">
        <v>65</v>
      </c>
      <c r="F36" s="38" t="s">
        <v>66</v>
      </c>
      <c r="G36" s="38">
        <f t="shared" si="12"/>
        <v>24</v>
      </c>
      <c r="H36" s="38" t="s">
        <v>67</v>
      </c>
      <c r="I36" s="157">
        <f t="shared" si="16"/>
        <v>1</v>
      </c>
      <c r="J36" s="161">
        <v>15</v>
      </c>
      <c r="K36" s="160">
        <f t="shared" si="13"/>
        <v>17876740.050000001</v>
      </c>
      <c r="L36" s="51">
        <f t="shared" si="14"/>
        <v>1</v>
      </c>
      <c r="M36" s="52">
        <f t="shared" si="15"/>
        <v>8938370.0250000004</v>
      </c>
      <c r="N36" s="53">
        <f t="shared" si="1"/>
        <v>0.1</v>
      </c>
      <c r="O36" s="180">
        <f>+'ESTUDIO DE MERCADO_SEGURO'!$M31</f>
        <v>5100</v>
      </c>
      <c r="P36" s="52">
        <f t="shared" si="2"/>
        <v>893837.00250000006</v>
      </c>
      <c r="Q36" s="40">
        <f t="shared" si="9"/>
        <v>9837307.0274999999</v>
      </c>
      <c r="R36" s="52">
        <f t="shared" si="3"/>
        <v>983730.70275000005</v>
      </c>
      <c r="S36" s="52">
        <f t="shared" si="4"/>
        <v>186908.8335225</v>
      </c>
      <c r="T36" s="52">
        <f t="shared" si="10"/>
        <v>10024215.8610225</v>
      </c>
      <c r="U36" s="42" t="s">
        <v>3</v>
      </c>
      <c r="W36" s="187">
        <v>3750</v>
      </c>
      <c r="X36" s="187">
        <f t="shared" si="5"/>
        <v>3862.5</v>
      </c>
      <c r="Y36" s="193">
        <f t="shared" si="6"/>
        <v>1931.25</v>
      </c>
    </row>
    <row r="37" spans="1:25" s="43" customFormat="1" ht="34.5" customHeight="1">
      <c r="A37" s="34"/>
      <c r="B37" s="66" t="s">
        <v>91</v>
      </c>
      <c r="C37" s="35">
        <v>1</v>
      </c>
      <c r="D37" s="36" t="s">
        <v>75</v>
      </c>
      <c r="E37" s="37" t="s">
        <v>65</v>
      </c>
      <c r="F37" s="37" t="s">
        <v>66</v>
      </c>
      <c r="G37" s="37">
        <f t="shared" si="12"/>
        <v>24</v>
      </c>
      <c r="H37" s="37" t="s">
        <v>67</v>
      </c>
      <c r="I37" s="159">
        <f t="shared" si="16"/>
        <v>1</v>
      </c>
      <c r="J37" s="161">
        <v>15</v>
      </c>
      <c r="K37" s="160">
        <f t="shared" si="13"/>
        <v>17876740.050000001</v>
      </c>
      <c r="L37" s="39">
        <f t="shared" si="14"/>
        <v>1</v>
      </c>
      <c r="M37" s="40">
        <f t="shared" si="15"/>
        <v>8938370.0250000004</v>
      </c>
      <c r="N37" s="41">
        <f t="shared" si="1"/>
        <v>0.1</v>
      </c>
      <c r="O37" s="180">
        <f>+'ESTUDIO DE MERCADO_SEGURO'!$M32</f>
        <v>5100</v>
      </c>
      <c r="P37" s="40">
        <f t="shared" si="2"/>
        <v>893837.00250000006</v>
      </c>
      <c r="Q37" s="40">
        <f t="shared" si="9"/>
        <v>9837307.0274999999</v>
      </c>
      <c r="R37" s="40">
        <f t="shared" si="3"/>
        <v>983730.70275000005</v>
      </c>
      <c r="S37" s="40">
        <f t="shared" si="4"/>
        <v>186908.8335225</v>
      </c>
      <c r="T37" s="40">
        <f t="shared" si="10"/>
        <v>10024215.8610225</v>
      </c>
      <c r="U37" s="42" t="s">
        <v>53</v>
      </c>
      <c r="W37" s="187">
        <v>3750</v>
      </c>
      <c r="X37" s="187">
        <f t="shared" si="5"/>
        <v>3862.5</v>
      </c>
      <c r="Y37" s="193">
        <f t="shared" si="6"/>
        <v>1931.25</v>
      </c>
    </row>
    <row r="38" spans="1:25" s="43" customFormat="1" ht="34.5" customHeight="1">
      <c r="A38" s="34"/>
      <c r="B38" s="67" t="s">
        <v>92</v>
      </c>
      <c r="C38" s="35">
        <v>1</v>
      </c>
      <c r="D38" s="55" t="s">
        <v>75</v>
      </c>
      <c r="E38" s="38" t="s">
        <v>65</v>
      </c>
      <c r="F38" s="38" t="s">
        <v>66</v>
      </c>
      <c r="G38" s="38">
        <f t="shared" si="12"/>
        <v>24</v>
      </c>
      <c r="H38" s="38" t="s">
        <v>67</v>
      </c>
      <c r="I38" s="157">
        <f t="shared" si="16"/>
        <v>1</v>
      </c>
      <c r="J38" s="161">
        <v>15</v>
      </c>
      <c r="K38" s="160">
        <f t="shared" si="13"/>
        <v>17876740.050000001</v>
      </c>
      <c r="L38" s="51">
        <f t="shared" si="14"/>
        <v>1</v>
      </c>
      <c r="M38" s="52">
        <f t="shared" si="15"/>
        <v>8938370.0250000004</v>
      </c>
      <c r="N38" s="53">
        <f t="shared" si="1"/>
        <v>0.1</v>
      </c>
      <c r="O38" s="180">
        <f>+'ESTUDIO DE MERCADO_SEGURO'!$M33</f>
        <v>5100</v>
      </c>
      <c r="P38" s="52">
        <f t="shared" si="2"/>
        <v>893837.00250000006</v>
      </c>
      <c r="Q38" s="40">
        <f t="shared" si="9"/>
        <v>9837307.0274999999</v>
      </c>
      <c r="R38" s="52">
        <f t="shared" si="3"/>
        <v>983730.70275000005</v>
      </c>
      <c r="S38" s="52">
        <f t="shared" si="4"/>
        <v>186908.8335225</v>
      </c>
      <c r="T38" s="52">
        <f t="shared" si="10"/>
        <v>10024215.8610225</v>
      </c>
      <c r="U38" s="42" t="s">
        <v>53</v>
      </c>
      <c r="W38" s="187">
        <v>3750</v>
      </c>
      <c r="X38" s="187">
        <f t="shared" si="5"/>
        <v>3862.5</v>
      </c>
      <c r="Y38" s="193">
        <f t="shared" si="6"/>
        <v>1931.25</v>
      </c>
    </row>
    <row r="39" spans="1:25" s="43" customFormat="1" ht="34.5" customHeight="1">
      <c r="A39" s="34"/>
      <c r="B39" s="66" t="s">
        <v>93</v>
      </c>
      <c r="C39" s="35">
        <v>1</v>
      </c>
      <c r="D39" s="36" t="s">
        <v>94</v>
      </c>
      <c r="E39" s="37" t="s">
        <v>65</v>
      </c>
      <c r="F39" s="37" t="s">
        <v>66</v>
      </c>
      <c r="G39" s="37">
        <f t="shared" si="12"/>
        <v>24</v>
      </c>
      <c r="H39" s="37" t="s">
        <v>67</v>
      </c>
      <c r="I39" s="159">
        <f t="shared" si="16"/>
        <v>1</v>
      </c>
      <c r="J39" s="161">
        <v>15</v>
      </c>
      <c r="K39" s="160">
        <f t="shared" si="13"/>
        <v>17876740.050000001</v>
      </c>
      <c r="L39" s="39">
        <f t="shared" si="14"/>
        <v>1</v>
      </c>
      <c r="M39" s="40">
        <f t="shared" si="15"/>
        <v>8938370.0250000004</v>
      </c>
      <c r="N39" s="41">
        <f t="shared" si="1"/>
        <v>0.1</v>
      </c>
      <c r="O39" s="180">
        <f>+'ESTUDIO DE MERCADO_SEGURO'!$M34</f>
        <v>5100</v>
      </c>
      <c r="P39" s="40">
        <f t="shared" si="2"/>
        <v>893837.00250000006</v>
      </c>
      <c r="Q39" s="40">
        <f t="shared" si="9"/>
        <v>9837307.0274999999</v>
      </c>
      <c r="R39" s="40">
        <f t="shared" si="3"/>
        <v>983730.70275000005</v>
      </c>
      <c r="S39" s="40">
        <f t="shared" si="4"/>
        <v>186908.8335225</v>
      </c>
      <c r="T39" s="40">
        <f t="shared" si="10"/>
        <v>10024215.8610225</v>
      </c>
      <c r="U39" s="42" t="s">
        <v>53</v>
      </c>
      <c r="W39" s="187">
        <v>3750</v>
      </c>
      <c r="X39" s="187">
        <f t="shared" si="5"/>
        <v>3862.5</v>
      </c>
      <c r="Y39" s="193">
        <f t="shared" si="6"/>
        <v>1931.25</v>
      </c>
    </row>
    <row r="40" spans="1:25" s="43" customFormat="1" ht="34.5" customHeight="1">
      <c r="A40" s="34"/>
      <c r="B40" s="68" t="s">
        <v>95</v>
      </c>
      <c r="C40" s="69">
        <v>1</v>
      </c>
      <c r="D40" s="70" t="s">
        <v>80</v>
      </c>
      <c r="E40" s="71" t="s">
        <v>51</v>
      </c>
      <c r="F40" s="71" t="s">
        <v>66</v>
      </c>
      <c r="G40" s="71">
        <f t="shared" si="12"/>
        <v>24</v>
      </c>
      <c r="H40" s="71" t="s">
        <v>67</v>
      </c>
      <c r="I40" s="71">
        <f t="shared" si="16"/>
        <v>1</v>
      </c>
      <c r="J40" s="72">
        <v>15</v>
      </c>
      <c r="K40" s="73">
        <f t="shared" si="13"/>
        <v>17876740.050000001</v>
      </c>
      <c r="L40" s="74">
        <f t="shared" si="14"/>
        <v>1</v>
      </c>
      <c r="M40" s="75">
        <f t="shared" si="15"/>
        <v>8938370.0250000004</v>
      </c>
      <c r="N40" s="76">
        <f t="shared" si="1"/>
        <v>0.08</v>
      </c>
      <c r="O40" s="180">
        <f>+'ESTUDIO DE MERCADO_SEGURO'!$M35</f>
        <v>5100</v>
      </c>
      <c r="P40" s="75">
        <f t="shared" si="2"/>
        <v>715069.60200000007</v>
      </c>
      <c r="Q40" s="75">
        <f t="shared" si="9"/>
        <v>9658539.6270000003</v>
      </c>
      <c r="R40" s="75">
        <f t="shared" si="3"/>
        <v>965853.96270000003</v>
      </c>
      <c r="S40" s="75">
        <f t="shared" si="4"/>
        <v>183512.252913</v>
      </c>
      <c r="T40" s="75">
        <f t="shared" si="10"/>
        <v>9842051.8799130004</v>
      </c>
      <c r="U40" s="77" t="s">
        <v>3</v>
      </c>
      <c r="W40" s="187">
        <v>3750</v>
      </c>
      <c r="X40" s="187">
        <f t="shared" si="5"/>
        <v>3862.5</v>
      </c>
      <c r="Y40" s="193">
        <f t="shared" si="6"/>
        <v>1931.25</v>
      </c>
    </row>
    <row r="41" spans="1:25" ht="34.5" customHeight="1">
      <c r="A41" s="1"/>
      <c r="B41" s="450" t="s">
        <v>4</v>
      </c>
      <c r="C41" s="450"/>
      <c r="D41" s="450"/>
      <c r="E41" s="450"/>
      <c r="F41" s="450"/>
      <c r="G41" s="450"/>
      <c r="H41" s="450"/>
      <c r="I41" s="450"/>
      <c r="J41" s="450"/>
      <c r="K41" s="78"/>
      <c r="L41" s="79"/>
      <c r="M41" s="80">
        <f>SUM(M12:M40)</f>
        <v>234060730.14828828</v>
      </c>
      <c r="N41" s="81"/>
      <c r="O41" s="181">
        <f t="shared" ref="O41" si="18">+(125)*J41</f>
        <v>0</v>
      </c>
      <c r="P41" s="81">
        <f>SUM(P12:P40)</f>
        <v>22478973.822363064</v>
      </c>
      <c r="Q41" s="81">
        <f>SUM(Q12:Q40)</f>
        <v>256658670.9706513</v>
      </c>
      <c r="R41" s="81">
        <f>SUM(R12:R40)</f>
        <v>25665867.097065128</v>
      </c>
      <c r="S41" s="81">
        <f>SUM(S12:S40)</f>
        <v>4876514.7484423742</v>
      </c>
      <c r="T41" s="81">
        <f>SUM(T12:T40)</f>
        <v>261535185.71909365</v>
      </c>
      <c r="U41" s="82"/>
    </row>
    <row r="42" spans="1:25" s="86" customFormat="1" ht="15.7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5"/>
      <c r="M42" s="85"/>
      <c r="N42" s="85"/>
      <c r="O42" s="85"/>
      <c r="P42" s="84"/>
      <c r="Q42" s="84"/>
      <c r="R42" s="84"/>
      <c r="S42" s="84"/>
      <c r="T42" s="85"/>
      <c r="U42" s="85"/>
    </row>
    <row r="43" spans="1:25" ht="36.75" customHeight="1">
      <c r="A43" s="1"/>
      <c r="B43" s="451" t="s">
        <v>96</v>
      </c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87"/>
      <c r="N43" s="88"/>
      <c r="O43" s="88"/>
      <c r="P43" s="89"/>
      <c r="Q43" s="89"/>
      <c r="R43" s="89"/>
      <c r="S43" s="89"/>
      <c r="T43" s="88"/>
      <c r="U43" s="88"/>
    </row>
    <row r="44" spans="1:25" ht="15">
      <c r="A44" s="1"/>
      <c r="B44" s="90"/>
      <c r="C44" s="90"/>
      <c r="D44" s="90"/>
      <c r="E44" s="90"/>
      <c r="F44" s="90"/>
      <c r="G44" s="90"/>
      <c r="H44" s="90"/>
      <c r="I44" s="90"/>
      <c r="J44" s="32"/>
      <c r="K44" s="91"/>
      <c r="L44" s="92"/>
      <c r="M44" s="90"/>
      <c r="N44" s="93"/>
      <c r="O44" s="93"/>
      <c r="P44" s="32"/>
      <c r="Q44" s="32"/>
      <c r="R44" s="94"/>
      <c r="S44" s="95"/>
      <c r="T44" s="3"/>
      <c r="U44" s="3"/>
    </row>
    <row r="45" spans="1:25" ht="15" customHeight="1">
      <c r="A45" s="1"/>
      <c r="B45" s="1"/>
      <c r="C45" s="1"/>
      <c r="D45" s="1" t="s">
        <v>97</v>
      </c>
      <c r="E45" s="1"/>
      <c r="F45" s="1"/>
      <c r="G45" s="1"/>
      <c r="H45" s="1"/>
      <c r="I45" s="1"/>
      <c r="J45" s="32"/>
      <c r="K45" s="96"/>
      <c r="L45" s="97"/>
      <c r="M45" s="83"/>
      <c r="N45" s="98"/>
      <c r="O45" s="98"/>
      <c r="P45" s="32"/>
      <c r="Q45" s="32"/>
      <c r="R45" s="443" t="s">
        <v>98</v>
      </c>
      <c r="S45" s="443"/>
      <c r="T45" s="100">
        <f>+M41</f>
        <v>234060730.14828828</v>
      </c>
      <c r="U45" s="101"/>
    </row>
    <row r="46" spans="1:25" ht="15" customHeight="1">
      <c r="A46" s="1"/>
      <c r="B46" s="1"/>
      <c r="C46" s="1"/>
      <c r="D46" s="1"/>
      <c r="E46" s="1"/>
      <c r="F46" s="1"/>
      <c r="G46" s="1"/>
      <c r="H46" s="1"/>
      <c r="I46" s="1"/>
      <c r="J46" s="32"/>
      <c r="K46" s="96"/>
      <c r="L46" s="97"/>
      <c r="M46" s="1"/>
      <c r="N46" s="98"/>
      <c r="O46" s="98"/>
      <c r="P46" s="32"/>
      <c r="Q46" s="32"/>
      <c r="R46" s="443" t="s">
        <v>99</v>
      </c>
      <c r="S46" s="443"/>
      <c r="T46" s="100">
        <f>+P41</f>
        <v>22478973.822363064</v>
      </c>
      <c r="U46" s="101"/>
    </row>
    <row r="47" spans="1:25" ht="15" customHeight="1">
      <c r="A47" s="1"/>
      <c r="B47" s="1"/>
      <c r="C47" s="1"/>
      <c r="D47" s="1"/>
      <c r="E47" s="1"/>
      <c r="F47" s="1"/>
      <c r="G47" s="1"/>
      <c r="H47" s="1"/>
      <c r="I47" s="1"/>
      <c r="J47" s="32"/>
      <c r="K47" s="96"/>
      <c r="L47" s="97"/>
      <c r="M47" s="1"/>
      <c r="N47" s="98"/>
      <c r="O47" s="98"/>
      <c r="P47" s="32"/>
      <c r="Q47" s="32"/>
      <c r="R47" s="443" t="s">
        <v>100</v>
      </c>
      <c r="S47" s="443"/>
      <c r="T47" s="102">
        <f>T45+T46+O41</f>
        <v>256539703.97065133</v>
      </c>
      <c r="U47" s="103"/>
    </row>
    <row r="48" spans="1:25" ht="15" customHeight="1">
      <c r="A48" s="1"/>
      <c r="B48" s="1"/>
      <c r="C48" s="1"/>
      <c r="D48" s="1"/>
      <c r="E48" s="1"/>
      <c r="F48" s="1"/>
      <c r="G48" s="1"/>
      <c r="H48" s="1"/>
      <c r="I48" s="1"/>
      <c r="J48" s="32"/>
      <c r="K48" s="96"/>
      <c r="L48" s="97"/>
      <c r="M48" s="104"/>
      <c r="N48" s="98"/>
      <c r="O48" s="98"/>
      <c r="P48" s="32"/>
      <c r="Q48" s="32"/>
      <c r="R48" s="443" t="s">
        <v>101</v>
      </c>
      <c r="S48" s="443"/>
      <c r="T48" s="100">
        <f>+S41</f>
        <v>4876514.7484423742</v>
      </c>
      <c r="U48" s="101"/>
    </row>
    <row r="49" spans="1:21" ht="15" customHeight="1">
      <c r="A49" s="1"/>
      <c r="B49" s="105"/>
      <c r="C49" s="1"/>
      <c r="D49" s="1"/>
      <c r="E49" s="1"/>
      <c r="F49" s="1"/>
      <c r="G49" s="1"/>
      <c r="H49" s="1"/>
      <c r="I49" s="1"/>
      <c r="J49" s="32"/>
      <c r="K49" s="96"/>
      <c r="L49" s="97"/>
      <c r="M49" s="1"/>
      <c r="N49" s="98"/>
      <c r="O49" s="98"/>
      <c r="P49" s="32"/>
      <c r="Q49" s="32"/>
      <c r="R49" s="456" t="s">
        <v>4</v>
      </c>
      <c r="S49" s="456"/>
      <c r="T49" s="106">
        <f>T47+T48</f>
        <v>261416218.71909371</v>
      </c>
      <c r="U49" s="101"/>
    </row>
    <row r="50" spans="1:21" ht="18.75" customHeight="1">
      <c r="A50" s="1"/>
      <c r="B50" s="1"/>
      <c r="C50" s="1"/>
      <c r="D50" s="1"/>
      <c r="E50" s="1"/>
      <c r="F50" s="1"/>
      <c r="G50" s="1"/>
      <c r="H50" s="1"/>
      <c r="I50" s="1"/>
      <c r="J50" s="32"/>
      <c r="K50" s="96"/>
      <c r="L50" s="97"/>
      <c r="M50" s="1"/>
      <c r="N50" s="98"/>
      <c r="O50" s="98"/>
      <c r="P50" s="107"/>
      <c r="Q50" s="94"/>
      <c r="R50" s="94"/>
      <c r="S50" s="94"/>
      <c r="T50" s="108"/>
      <c r="U50" s="101"/>
    </row>
    <row r="51" spans="1:21" ht="15" customHeight="1">
      <c r="A51" s="109"/>
      <c r="B51" s="109"/>
      <c r="C51" s="1"/>
      <c r="D51" s="105"/>
      <c r="E51" s="457" t="s">
        <v>102</v>
      </c>
      <c r="F51" s="458"/>
      <c r="G51" s="458"/>
      <c r="H51" s="458"/>
      <c r="I51" s="459"/>
      <c r="J51" s="99" t="s">
        <v>98</v>
      </c>
      <c r="K51" s="110"/>
      <c r="L51" s="466">
        <f>SUMIF($U$12:$U$40,"anm",$M$12:$M$40)</f>
        <v>126977502.94789569</v>
      </c>
      <c r="M51" s="467"/>
      <c r="N51" s="111"/>
      <c r="O51" s="111"/>
      <c r="P51" s="112">
        <f>SUMIF($U$12:$U$39,"ANM",$U$12:$U$39)</f>
        <v>0</v>
      </c>
      <c r="Q51" s="468"/>
      <c r="R51" s="469" t="s">
        <v>3</v>
      </c>
      <c r="S51" s="470" t="s">
        <v>98</v>
      </c>
      <c r="T51" s="470"/>
      <c r="U51" s="100">
        <f>SUMIF($U$9:$U$40,"SGR",$M$9:$M$40)</f>
        <v>107083227.20039251</v>
      </c>
    </row>
    <row r="52" spans="1:21" ht="15.75">
      <c r="A52" s="105"/>
      <c r="B52" s="1"/>
      <c r="C52" s="1"/>
      <c r="D52" s="1"/>
      <c r="E52" s="460"/>
      <c r="F52" s="461"/>
      <c r="G52" s="461"/>
      <c r="H52" s="461"/>
      <c r="I52" s="462"/>
      <c r="J52" s="99" t="s">
        <v>99</v>
      </c>
      <c r="K52" s="110"/>
      <c r="L52" s="466">
        <f>SUMIF($U$12:$U$40,"anm",$P$12:$P$40)</f>
        <v>12124641.641331654</v>
      </c>
      <c r="M52" s="467"/>
      <c r="N52" s="111"/>
      <c r="O52" s="111"/>
      <c r="P52" s="112">
        <f>SUMIF($U$12:$U$39,"ANM",$U$12:$U$39)</f>
        <v>0</v>
      </c>
      <c r="Q52" s="468"/>
      <c r="R52" s="469"/>
      <c r="S52" s="470" t="s">
        <v>99</v>
      </c>
      <c r="T52" s="470"/>
      <c r="U52" s="114">
        <f>SUMIF($U$11:$U$40,"SGR",$P$11:$P$40)</f>
        <v>10354332.1810314</v>
      </c>
    </row>
    <row r="53" spans="1:21" ht="15.75">
      <c r="A53" s="1" t="s">
        <v>103</v>
      </c>
      <c r="B53" s="1"/>
      <c r="C53" s="1"/>
      <c r="D53" s="1"/>
      <c r="E53" s="460"/>
      <c r="F53" s="461"/>
      <c r="G53" s="461"/>
      <c r="H53" s="461"/>
      <c r="I53" s="462"/>
      <c r="J53" s="99" t="s">
        <v>104</v>
      </c>
      <c r="K53" s="113"/>
      <c r="L53" s="466">
        <f>SUMIF($U$12:$U$40,"anm",$O$12:$O$40)</f>
        <v>58454</v>
      </c>
      <c r="M53" s="467"/>
      <c r="N53" s="115"/>
      <c r="O53" s="115"/>
      <c r="P53" s="112"/>
      <c r="Q53" s="468"/>
      <c r="R53" s="469"/>
      <c r="S53" s="471" t="s">
        <v>104</v>
      </c>
      <c r="T53" s="472"/>
      <c r="U53" s="114">
        <f>SUMIF($U$12:$U$40,"SGR",$O$12:$O$40)</f>
        <v>60513</v>
      </c>
    </row>
    <row r="54" spans="1:21" ht="15.75">
      <c r="A54" s="1" t="s">
        <v>105</v>
      </c>
      <c r="B54" s="1"/>
      <c r="C54" s="1"/>
      <c r="D54" s="1"/>
      <c r="E54" s="460"/>
      <c r="F54" s="461"/>
      <c r="G54" s="461"/>
      <c r="H54" s="461"/>
      <c r="I54" s="462"/>
      <c r="J54" s="99" t="s">
        <v>100</v>
      </c>
      <c r="K54" s="110"/>
      <c r="L54" s="475">
        <f>L51+L52+L53</f>
        <v>139160598.58922735</v>
      </c>
      <c r="M54" s="476"/>
      <c r="N54" s="115"/>
      <c r="O54" s="115"/>
      <c r="P54" s="112">
        <f>SUMIF($U$12:$U$39,"ANM",$U$12:$U$39)</f>
        <v>0</v>
      </c>
      <c r="Q54" s="468"/>
      <c r="R54" s="469"/>
      <c r="S54" s="470" t="s">
        <v>100</v>
      </c>
      <c r="T54" s="470"/>
      <c r="U54" s="100">
        <f>U51+U52+U53</f>
        <v>117498072.38142392</v>
      </c>
    </row>
    <row r="55" spans="1:21" ht="15.75">
      <c r="A55" s="1" t="s">
        <v>106</v>
      </c>
      <c r="B55" s="1"/>
      <c r="C55" s="1"/>
      <c r="D55" s="1"/>
      <c r="E55" s="463"/>
      <c r="F55" s="464"/>
      <c r="G55" s="464"/>
      <c r="H55" s="464"/>
      <c r="I55" s="465"/>
      <c r="J55" s="99" t="s">
        <v>101</v>
      </c>
      <c r="K55" s="110"/>
      <c r="L55" s="477">
        <f>SUMIF($U$12:$U$40,"anm",$S$12:$S$40)</f>
        <v>2644051.3731953194</v>
      </c>
      <c r="M55" s="478"/>
      <c r="N55" s="115"/>
      <c r="O55" s="115"/>
      <c r="P55" s="116">
        <f>L56+U56</f>
        <v>261535185.71909365</v>
      </c>
      <c r="Q55" s="468"/>
      <c r="R55" s="469"/>
      <c r="S55" s="471" t="s">
        <v>101</v>
      </c>
      <c r="T55" s="472"/>
      <c r="U55" s="100">
        <f>SUMIF($U$9:$U$40,"SGR",$S$9:$S$40)</f>
        <v>2232463.3752470543</v>
      </c>
    </row>
    <row r="56" spans="1:21" ht="15.75">
      <c r="A56" s="1"/>
      <c r="B56" s="1"/>
      <c r="C56" s="1"/>
      <c r="D56" s="3"/>
      <c r="E56" s="117"/>
      <c r="F56" s="117"/>
      <c r="G56" s="117"/>
      <c r="H56" s="117"/>
      <c r="I56" s="117"/>
      <c r="J56" s="452" t="s">
        <v>4</v>
      </c>
      <c r="K56" s="453"/>
      <c r="L56" s="118">
        <f>L54+L55</f>
        <v>141804649.96242267</v>
      </c>
      <c r="M56" s="119"/>
      <c r="N56" s="120"/>
      <c r="O56" s="120"/>
      <c r="P56" s="121"/>
      <c r="Q56" s="122"/>
      <c r="R56" s="123"/>
      <c r="S56" s="454" t="s">
        <v>4</v>
      </c>
      <c r="T56" s="455"/>
      <c r="U56" s="479">
        <f>(U54+U55)</f>
        <v>119730535.75667098</v>
      </c>
    </row>
    <row r="57" spans="1:21" ht="15.75">
      <c r="A57" s="3"/>
      <c r="B57" s="3"/>
      <c r="C57" s="3"/>
      <c r="D57" s="3"/>
      <c r="E57" s="124"/>
      <c r="F57" s="124"/>
      <c r="G57" s="124"/>
      <c r="H57" s="124"/>
      <c r="I57" s="124"/>
      <c r="J57" s="156" t="s">
        <v>107</v>
      </c>
      <c r="K57" s="125"/>
      <c r="L57" s="126"/>
      <c r="M57" s="127"/>
      <c r="N57" s="128"/>
      <c r="O57" s="128"/>
      <c r="P57" s="129"/>
      <c r="Q57" s="130"/>
      <c r="R57" s="130"/>
      <c r="S57" s="473" t="s">
        <v>107</v>
      </c>
      <c r="T57" s="474"/>
      <c r="U57" s="480"/>
    </row>
    <row r="58" spans="1:21" ht="15.75">
      <c r="A58" s="3"/>
      <c r="B58" s="3"/>
      <c r="C58" s="3"/>
      <c r="D58" s="3"/>
      <c r="E58" s="124"/>
      <c r="F58" s="124"/>
      <c r="G58" s="124"/>
      <c r="H58" s="124"/>
      <c r="I58" s="124"/>
      <c r="J58" s="122"/>
      <c r="K58" s="131"/>
      <c r="L58" s="132"/>
      <c r="M58" s="132"/>
      <c r="N58" s="128"/>
      <c r="O58" s="128"/>
      <c r="P58" s="129"/>
      <c r="Q58" s="130"/>
      <c r="R58" s="130"/>
      <c r="S58" s="130"/>
      <c r="T58" s="133"/>
      <c r="U58" s="133"/>
    </row>
    <row r="59" spans="1:21" ht="15" customHeight="1">
      <c r="A59" s="3"/>
      <c r="B59" s="3"/>
      <c r="C59" s="3"/>
      <c r="D59" s="3"/>
      <c r="E59" s="124"/>
      <c r="F59" s="124"/>
      <c r="G59" s="124"/>
      <c r="H59" s="124"/>
      <c r="I59" s="124"/>
      <c r="J59" s="94"/>
      <c r="K59" s="134"/>
      <c r="L59" s="135"/>
      <c r="M59" s="135"/>
      <c r="N59" s="136"/>
      <c r="O59" s="136"/>
      <c r="P59" s="137"/>
      <c r="Q59" s="138"/>
      <c r="R59" s="138"/>
      <c r="S59" s="138"/>
      <c r="T59" s="139"/>
      <c r="U59" s="139"/>
    </row>
    <row r="60" spans="1:21" ht="15.75">
      <c r="A60" s="3"/>
      <c r="B60" s="3"/>
      <c r="C60" s="3"/>
      <c r="D60" s="3"/>
      <c r="E60" s="124"/>
      <c r="F60" s="124"/>
      <c r="G60" s="124"/>
      <c r="H60" s="124"/>
      <c r="I60" s="124"/>
      <c r="J60" s="94"/>
      <c r="K60" s="134"/>
      <c r="L60" s="135"/>
      <c r="M60" s="135"/>
      <c r="N60" s="136"/>
      <c r="O60" s="136"/>
      <c r="P60" s="137"/>
      <c r="Q60" s="138"/>
      <c r="R60" s="138"/>
      <c r="S60" s="138"/>
      <c r="T60" s="139"/>
      <c r="U60" s="139"/>
    </row>
    <row r="61" spans="1:21" ht="15">
      <c r="A61" s="3"/>
      <c r="B61" s="3"/>
      <c r="C61" s="3"/>
      <c r="D61" s="3"/>
      <c r="E61" s="3"/>
      <c r="F61" s="3"/>
      <c r="G61" s="3"/>
      <c r="H61" s="3"/>
      <c r="I61" s="3"/>
      <c r="J61" s="94"/>
      <c r="K61" s="134"/>
      <c r="L61" s="135"/>
      <c r="M61" s="135"/>
      <c r="N61" s="136"/>
      <c r="O61" s="136"/>
      <c r="P61" s="137"/>
      <c r="Q61" s="138"/>
      <c r="R61" s="138"/>
      <c r="S61" s="138"/>
      <c r="T61" s="139"/>
      <c r="U61" s="139"/>
    </row>
    <row r="62" spans="1:21" ht="15">
      <c r="A62" s="3"/>
      <c r="B62" s="3"/>
      <c r="C62" s="3"/>
      <c r="D62" s="3"/>
      <c r="E62" s="3"/>
      <c r="F62" s="3"/>
      <c r="G62" s="3"/>
      <c r="H62" s="3"/>
      <c r="I62" s="3"/>
      <c r="J62" s="94"/>
      <c r="K62" s="134"/>
      <c r="L62" s="135"/>
      <c r="M62" s="135"/>
      <c r="N62" s="136"/>
      <c r="O62" s="136"/>
      <c r="P62" s="137"/>
      <c r="Q62" s="138"/>
      <c r="R62" s="138"/>
      <c r="S62" s="138"/>
      <c r="T62" s="139"/>
      <c r="U62" s="139"/>
    </row>
    <row r="63" spans="1:21" ht="15">
      <c r="A63" s="3"/>
      <c r="B63" s="3"/>
      <c r="C63" s="3"/>
      <c r="D63" s="3"/>
      <c r="E63" s="3"/>
      <c r="F63" s="3"/>
      <c r="G63" s="3"/>
      <c r="H63" s="3"/>
      <c r="I63" s="3"/>
      <c r="J63" s="94"/>
      <c r="K63" s="140"/>
      <c r="L63" s="141"/>
      <c r="M63" s="141"/>
      <c r="N63" s="142"/>
      <c r="O63" s="142"/>
      <c r="P63" s="137"/>
      <c r="Q63" s="138"/>
      <c r="R63" s="138"/>
      <c r="S63" s="138"/>
      <c r="T63" s="143"/>
      <c r="U63" s="143"/>
    </row>
    <row r="64" spans="1:21" ht="15">
      <c r="A64" s="3"/>
      <c r="B64" s="3"/>
      <c r="C64" s="3"/>
      <c r="D64" s="3"/>
      <c r="E64" s="3"/>
      <c r="F64" s="3"/>
      <c r="G64" s="3"/>
      <c r="H64" s="3"/>
      <c r="I64" s="3"/>
      <c r="J64" s="94"/>
      <c r="K64" s="134"/>
      <c r="L64" s="135"/>
      <c r="M64" s="135"/>
      <c r="N64" s="136"/>
      <c r="O64" s="136"/>
      <c r="P64" s="137"/>
      <c r="Q64" s="138"/>
      <c r="R64" s="138"/>
      <c r="S64" s="138"/>
      <c r="T64" s="139"/>
      <c r="U64" s="139"/>
    </row>
    <row r="65" spans="1:21" ht="15" customHeight="1">
      <c r="A65" s="3"/>
      <c r="B65" s="3"/>
      <c r="C65" s="3"/>
      <c r="D65" s="3"/>
      <c r="E65" s="3"/>
      <c r="F65" s="3"/>
      <c r="G65" s="3"/>
      <c r="H65" s="3"/>
      <c r="I65" s="3"/>
      <c r="J65" s="94"/>
      <c r="K65" s="134"/>
      <c r="L65" s="135"/>
      <c r="M65" s="135"/>
      <c r="N65" s="136"/>
      <c r="O65" s="136"/>
      <c r="P65" s="137"/>
      <c r="Q65" s="138"/>
      <c r="R65" s="138"/>
      <c r="S65" s="138"/>
      <c r="T65" s="139"/>
      <c r="U65" s="139"/>
    </row>
    <row r="66" spans="1:21">
      <c r="K66" s="145"/>
      <c r="L66" s="146"/>
      <c r="M66" s="146"/>
      <c r="N66" s="147"/>
      <c r="O66" s="147"/>
      <c r="P66" s="148"/>
      <c r="Q66" s="149"/>
      <c r="R66" s="149"/>
      <c r="S66" s="149"/>
      <c r="T66" s="150"/>
      <c r="U66" s="150"/>
    </row>
    <row r="67" spans="1:21">
      <c r="K67" s="145"/>
      <c r="L67" s="146"/>
      <c r="M67" s="146"/>
      <c r="N67" s="147"/>
      <c r="O67" s="147"/>
      <c r="P67" s="148"/>
      <c r="Q67" s="149"/>
      <c r="R67" s="149"/>
      <c r="S67" s="149"/>
      <c r="T67" s="150"/>
      <c r="U67" s="150"/>
    </row>
    <row r="68" spans="1:21">
      <c r="K68" s="145"/>
      <c r="L68" s="146"/>
      <c r="M68" s="146"/>
      <c r="N68" s="147"/>
      <c r="O68" s="147"/>
      <c r="P68" s="148"/>
      <c r="Q68" s="149"/>
      <c r="R68" s="149"/>
      <c r="S68" s="149"/>
      <c r="T68" s="150"/>
      <c r="U68" s="150"/>
    </row>
    <row r="69" spans="1:21">
      <c r="K69" s="145"/>
      <c r="L69" s="146"/>
      <c r="M69" s="146"/>
      <c r="N69" s="147"/>
      <c r="O69" s="147"/>
      <c r="P69" s="148"/>
      <c r="Q69" s="149"/>
      <c r="R69" s="149"/>
      <c r="S69" s="149"/>
      <c r="T69" s="150"/>
      <c r="U69" s="150"/>
    </row>
  </sheetData>
  <mergeCells count="30">
    <mergeCell ref="U56:U57"/>
    <mergeCell ref="S57:T57"/>
    <mergeCell ref="L54:M54"/>
    <mergeCell ref="S54:T54"/>
    <mergeCell ref="L55:M55"/>
    <mergeCell ref="S55:T55"/>
    <mergeCell ref="J56:K56"/>
    <mergeCell ref="S56:T56"/>
    <mergeCell ref="R49:S49"/>
    <mergeCell ref="E51:I55"/>
    <mergeCell ref="L51:M51"/>
    <mergeCell ref="Q51:Q55"/>
    <mergeCell ref="R51:R55"/>
    <mergeCell ref="S51:T51"/>
    <mergeCell ref="L52:M52"/>
    <mergeCell ref="S52:T52"/>
    <mergeCell ref="L53:M53"/>
    <mergeCell ref="S53:T53"/>
    <mergeCell ref="R48:S48"/>
    <mergeCell ref="B1:U1"/>
    <mergeCell ref="D2:O2"/>
    <mergeCell ref="D3:O3"/>
    <mergeCell ref="B10:T10"/>
    <mergeCell ref="B12:B19"/>
    <mergeCell ref="B29:B30"/>
    <mergeCell ref="B41:J41"/>
    <mergeCell ref="B43:L43"/>
    <mergeCell ref="R45:S45"/>
    <mergeCell ref="R46:S46"/>
    <mergeCell ref="R47:S47"/>
  </mergeCells>
  <conditionalFormatting sqref="C4">
    <cfRule type="containsText" dxfId="11" priority="5" operator="containsText" text=" lunes a viernes (sin festivos)">
      <formula>NOT(ISERROR(SEARCH(" lunes a viernes (sin festivos)",C4)))</formula>
    </cfRule>
  </conditionalFormatting>
  <conditionalFormatting sqref="D1:D7">
    <cfRule type="containsText" dxfId="10" priority="3" operator="containsText" text=" lunes a viernes (sin festivos)">
      <formula>NOT(ISERROR(SEARCH(" lunes a viernes (sin festivos)",D1)))</formula>
    </cfRule>
  </conditionalFormatting>
  <conditionalFormatting sqref="D9:D21">
    <cfRule type="containsText" dxfId="9" priority="1" operator="containsText" text=" lunes a viernes (sin festivos)">
      <formula>NOT(ISERROR(SEARCH(" lunes a viernes (sin festivos)",D9)))</formula>
    </cfRule>
  </conditionalFormatting>
  <conditionalFormatting sqref="D23:D1048576">
    <cfRule type="containsText" dxfId="8" priority="2" operator="containsText" text=" lunes a viernes (sin festivos)">
      <formula>NOT(ISERROR(SEARCH(" lunes a viernes (sin festivos)",D23)))</formula>
    </cfRule>
  </conditionalFormatting>
  <conditionalFormatting sqref="E9">
    <cfRule type="containsText" dxfId="7" priority="6" operator="containsText" text=" lunes a viernes (sin festivos)">
      <formula>NOT(ISERROR(SEARCH(" lunes a viernes (sin festivos)",E9)))</formula>
    </cfRule>
  </conditionalFormatting>
  <conditionalFormatting sqref="U1:U41 O11">
    <cfRule type="cellIs" dxfId="6" priority="4" operator="equal">
      <formula>"SGR"</formula>
    </cfRule>
  </conditionalFormatting>
  <conditionalFormatting sqref="U43:U50 U58:U1048576">
    <cfRule type="cellIs" dxfId="5" priority="7" operator="equal">
      <formula>"SGR"</formula>
    </cfRule>
  </conditionalFormatting>
  <pageMargins left="0.25" right="0.25" top="0.75" bottom="0.75" header="0.3" footer="0.3"/>
  <pageSetup scale="34" orientation="landscape" r:id="rId1"/>
  <headerFooter>
    <oddFooter>&amp;L_x000D_&amp;1#&amp;"Aptos"&amp;10&amp;K000000 Informacion publica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C9900"/>
    <pageSetUpPr fitToPage="1"/>
  </sheetPr>
  <dimension ref="B1:Q48"/>
  <sheetViews>
    <sheetView showGridLines="0" topLeftCell="A10" zoomScale="90" zoomScaleNormal="90" workbookViewId="0">
      <selection activeCell="G37" sqref="G37"/>
    </sheetView>
  </sheetViews>
  <sheetFormatPr defaultColWidth="11.42578125" defaultRowHeight="16.5"/>
  <cols>
    <col min="1" max="1" width="5.42578125" style="2" customWidth="1"/>
    <col min="2" max="2" width="19" style="225" customWidth="1"/>
    <col min="3" max="3" width="41" style="228" customWidth="1"/>
    <col min="4" max="4" width="28.28515625" style="225" customWidth="1"/>
    <col min="5" max="5" width="19.140625" style="244" customWidth="1"/>
    <col min="6" max="6" width="20.140625" style="244" customWidth="1"/>
    <col min="7" max="7" width="13.85546875" style="2" bestFit="1" customWidth="1"/>
    <col min="8" max="8" width="5.7109375" style="2" customWidth="1"/>
    <col min="9" max="9" width="11.42578125" style="2" customWidth="1"/>
    <col min="10" max="13" width="11.42578125" style="2"/>
    <col min="14" max="14" width="12.42578125" style="2" bestFit="1" customWidth="1"/>
    <col min="15" max="16384" width="11.42578125" style="2"/>
  </cols>
  <sheetData>
    <row r="1" spans="2:17">
      <c r="L1"/>
      <c r="M1"/>
      <c r="N1"/>
      <c r="O1"/>
      <c r="P1"/>
      <c r="Q1"/>
    </row>
    <row r="2" spans="2:17" ht="25.5">
      <c r="B2" s="485" t="s">
        <v>22</v>
      </c>
      <c r="C2" s="485"/>
      <c r="D2" s="485"/>
      <c r="E2" s="485"/>
      <c r="F2" s="485"/>
      <c r="G2" s="194"/>
      <c r="H2" s="194"/>
      <c r="L2"/>
      <c r="M2"/>
      <c r="N2"/>
      <c r="O2"/>
      <c r="P2"/>
      <c r="Q2"/>
    </row>
    <row r="3" spans="2:17" ht="23.25">
      <c r="B3" s="486" t="s">
        <v>108</v>
      </c>
      <c r="C3" s="486"/>
      <c r="D3" s="486"/>
      <c r="E3" s="486"/>
      <c r="F3" s="486"/>
      <c r="G3" s="194"/>
      <c r="H3" s="194"/>
      <c r="L3"/>
      <c r="M3"/>
      <c r="N3"/>
      <c r="O3"/>
      <c r="P3"/>
      <c r="Q3"/>
    </row>
    <row r="4" spans="2:17" ht="18">
      <c r="B4" s="487"/>
      <c r="C4" s="487"/>
      <c r="D4" s="487"/>
      <c r="E4" s="487"/>
      <c r="F4" s="487"/>
      <c r="L4"/>
      <c r="M4"/>
      <c r="N4"/>
      <c r="O4"/>
      <c r="P4"/>
      <c r="Q4"/>
    </row>
    <row r="5" spans="2:17" ht="15.75">
      <c r="B5" s="488"/>
      <c r="C5" s="488"/>
      <c r="D5" s="488"/>
      <c r="E5" s="223"/>
      <c r="F5" s="224"/>
      <c r="L5"/>
      <c r="M5"/>
      <c r="N5"/>
      <c r="O5"/>
      <c r="P5"/>
      <c r="Q5"/>
    </row>
    <row r="6" spans="2:17">
      <c r="C6" s="226"/>
      <c r="D6" s="273" t="s">
        <v>109</v>
      </c>
      <c r="E6" s="227">
        <f>+'Estudio de Mercado_Poda '!$X$7</f>
        <v>182192</v>
      </c>
      <c r="F6" s="224"/>
      <c r="L6"/>
      <c r="M6"/>
      <c r="N6"/>
      <c r="O6"/>
      <c r="P6"/>
      <c r="Q6"/>
    </row>
    <row r="7" spans="2:17">
      <c r="B7" s="226" t="s">
        <v>110</v>
      </c>
      <c r="D7" s="229"/>
      <c r="E7" s="230"/>
      <c r="F7" s="230"/>
      <c r="J7" s="249"/>
      <c r="K7" s="249"/>
      <c r="L7"/>
      <c r="M7"/>
      <c r="N7"/>
      <c r="O7"/>
      <c r="P7"/>
      <c r="Q7"/>
    </row>
    <row r="8" spans="2:17" ht="33">
      <c r="B8" s="231" t="s">
        <v>111</v>
      </c>
      <c r="C8" s="232" t="s">
        <v>33</v>
      </c>
      <c r="D8" s="233" t="s">
        <v>112</v>
      </c>
      <c r="E8" s="234" t="s">
        <v>113</v>
      </c>
      <c r="F8" s="234" t="s">
        <v>114</v>
      </c>
      <c r="L8"/>
      <c r="M8"/>
      <c r="N8"/>
      <c r="O8"/>
      <c r="P8"/>
      <c r="Q8"/>
    </row>
    <row r="9" spans="2:17" ht="14.25" customHeight="1">
      <c r="B9" s="484" t="s">
        <v>115</v>
      </c>
      <c r="C9" s="186" t="s">
        <v>78</v>
      </c>
      <c r="D9" s="336">
        <v>4.5</v>
      </c>
      <c r="E9" s="235">
        <f>+'Estudio de Mercado_Poda '!$X$7</f>
        <v>182192</v>
      </c>
      <c r="F9" s="235">
        <f>+D9*E9</f>
        <v>819864</v>
      </c>
      <c r="G9" s="236" t="s">
        <v>53</v>
      </c>
      <c r="J9" s="190"/>
      <c r="L9"/>
      <c r="M9"/>
      <c r="N9"/>
      <c r="O9"/>
      <c r="P9"/>
      <c r="Q9"/>
    </row>
    <row r="10" spans="2:17" ht="14.25" customHeight="1">
      <c r="B10" s="484"/>
      <c r="C10" s="186" t="s">
        <v>116</v>
      </c>
      <c r="D10" s="336">
        <v>4.5</v>
      </c>
      <c r="E10" s="235">
        <f>+'Estudio de Mercado_Poda '!$X$7</f>
        <v>182192</v>
      </c>
      <c r="F10" s="235">
        <f t="shared" ref="F10:F11" si="0">+D10*E10</f>
        <v>819864</v>
      </c>
      <c r="G10" s="236" t="s">
        <v>3</v>
      </c>
      <c r="I10" s="212"/>
      <c r="J10" s="190"/>
      <c r="L10"/>
      <c r="M10"/>
      <c r="N10"/>
      <c r="O10"/>
      <c r="P10"/>
      <c r="Q10"/>
    </row>
    <row r="11" spans="2:17" ht="14.25" customHeight="1">
      <c r="B11" s="484"/>
      <c r="C11" s="186" t="s">
        <v>117</v>
      </c>
      <c r="D11" s="336">
        <v>4.5</v>
      </c>
      <c r="E11" s="235">
        <f>+'Estudio de Mercado_Poda '!$X$7</f>
        <v>182192</v>
      </c>
      <c r="F11" s="235">
        <f t="shared" si="0"/>
        <v>819864</v>
      </c>
      <c r="G11" s="236" t="s">
        <v>53</v>
      </c>
      <c r="J11" s="190"/>
      <c r="L11"/>
      <c r="M11"/>
      <c r="N11"/>
      <c r="O11"/>
      <c r="P11"/>
      <c r="Q11"/>
    </row>
    <row r="12" spans="2:17" ht="14.25" customHeight="1">
      <c r="B12" s="481" t="s">
        <v>118</v>
      </c>
      <c r="C12" s="186" t="s">
        <v>119</v>
      </c>
      <c r="D12" s="336">
        <v>4.5</v>
      </c>
      <c r="E12" s="235">
        <f>+'Estudio de Mercado_Poda '!$X$7</f>
        <v>182192</v>
      </c>
      <c r="F12" s="235">
        <f t="shared" ref="F12:F31" si="1">+D12*E12</f>
        <v>819864</v>
      </c>
      <c r="G12" s="236" t="s">
        <v>53</v>
      </c>
      <c r="J12" s="190"/>
      <c r="L12"/>
      <c r="M12"/>
      <c r="N12"/>
      <c r="O12"/>
      <c r="P12"/>
      <c r="Q12"/>
    </row>
    <row r="13" spans="2:17" ht="14.25" customHeight="1">
      <c r="B13" s="482"/>
      <c r="C13" s="186" t="s">
        <v>120</v>
      </c>
      <c r="D13" s="336">
        <v>4.5</v>
      </c>
      <c r="E13" s="235">
        <f>+'Estudio de Mercado_Poda '!$X$7</f>
        <v>182192</v>
      </c>
      <c r="F13" s="235">
        <f t="shared" si="1"/>
        <v>819864</v>
      </c>
      <c r="G13" s="237" t="s">
        <v>53</v>
      </c>
      <c r="H13" s="213"/>
      <c r="I13" s="213"/>
      <c r="J13" s="248"/>
      <c r="L13"/>
      <c r="M13"/>
      <c r="N13"/>
      <c r="O13"/>
      <c r="P13"/>
      <c r="Q13"/>
    </row>
    <row r="14" spans="2:17" ht="14.25" customHeight="1">
      <c r="B14" s="482"/>
      <c r="C14" s="186" t="s">
        <v>121</v>
      </c>
      <c r="D14" s="336">
        <v>4.5</v>
      </c>
      <c r="E14" s="235">
        <f>+'Estudio de Mercado_Poda '!$X$7</f>
        <v>182192</v>
      </c>
      <c r="F14" s="235">
        <f t="shared" si="1"/>
        <v>819864</v>
      </c>
      <c r="G14" s="236" t="s">
        <v>53</v>
      </c>
      <c r="J14" s="190"/>
      <c r="L14"/>
      <c r="M14"/>
      <c r="N14"/>
      <c r="O14"/>
      <c r="P14"/>
      <c r="Q14"/>
    </row>
    <row r="15" spans="2:17" ht="14.25" customHeight="1">
      <c r="B15" s="482"/>
      <c r="C15" s="186" t="s">
        <v>122</v>
      </c>
      <c r="D15" s="336">
        <v>4.5</v>
      </c>
      <c r="E15" s="235">
        <f>+'Estudio de Mercado_Poda '!$X$7</f>
        <v>182192</v>
      </c>
      <c r="F15" s="235">
        <f t="shared" si="1"/>
        <v>819864</v>
      </c>
      <c r="G15" s="236" t="s">
        <v>53</v>
      </c>
      <c r="J15" s="190"/>
      <c r="L15"/>
      <c r="M15"/>
      <c r="N15"/>
      <c r="O15"/>
      <c r="P15"/>
      <c r="Q15"/>
    </row>
    <row r="16" spans="2:17" ht="14.25" customHeight="1">
      <c r="B16" s="482"/>
      <c r="C16" s="186" t="s">
        <v>123</v>
      </c>
      <c r="D16" s="336">
        <v>4.5</v>
      </c>
      <c r="E16" s="235">
        <f>+'Estudio de Mercado_Poda '!$X$7</f>
        <v>182192</v>
      </c>
      <c r="F16" s="235">
        <f t="shared" si="1"/>
        <v>819864</v>
      </c>
      <c r="G16" s="237" t="s">
        <v>3</v>
      </c>
      <c r="H16" s="213"/>
      <c r="J16" s="190"/>
      <c r="L16"/>
      <c r="M16"/>
      <c r="N16"/>
      <c r="O16"/>
      <c r="P16"/>
      <c r="Q16"/>
    </row>
    <row r="17" spans="2:17" ht="14.25" customHeight="1">
      <c r="B17" s="482"/>
      <c r="C17" s="186" t="s">
        <v>124</v>
      </c>
      <c r="D17" s="336">
        <v>4.5</v>
      </c>
      <c r="E17" s="235">
        <f>+'Estudio de Mercado_Poda '!$X$7</f>
        <v>182192</v>
      </c>
      <c r="F17" s="235">
        <f t="shared" si="1"/>
        <v>819864</v>
      </c>
      <c r="G17" s="236" t="s">
        <v>3</v>
      </c>
      <c r="J17" s="190"/>
      <c r="L17"/>
      <c r="M17"/>
      <c r="N17"/>
      <c r="O17"/>
      <c r="P17"/>
      <c r="Q17"/>
    </row>
    <row r="18" spans="2:17" ht="14.25" customHeight="1">
      <c r="B18" s="482"/>
      <c r="C18" s="186" t="s">
        <v>125</v>
      </c>
      <c r="D18" s="336">
        <v>4.5</v>
      </c>
      <c r="E18" s="235">
        <f>+'Estudio de Mercado_Poda '!$X$7</f>
        <v>182192</v>
      </c>
      <c r="F18" s="235">
        <f t="shared" si="1"/>
        <v>819864</v>
      </c>
      <c r="G18" s="236" t="s">
        <v>3</v>
      </c>
      <c r="J18" s="190"/>
      <c r="L18"/>
      <c r="M18"/>
      <c r="N18"/>
      <c r="O18"/>
      <c r="P18"/>
      <c r="Q18"/>
    </row>
    <row r="19" spans="2:17" ht="14.25" customHeight="1">
      <c r="B19" s="482"/>
      <c r="C19" s="238" t="s">
        <v>126</v>
      </c>
      <c r="D19" s="336">
        <v>4.5</v>
      </c>
      <c r="E19" s="235">
        <f>+'Estudio de Mercado_Poda '!$X$7</f>
        <v>182192</v>
      </c>
      <c r="F19" s="235">
        <f t="shared" si="1"/>
        <v>819864</v>
      </c>
      <c r="G19" s="239" t="s">
        <v>53</v>
      </c>
      <c r="H19" s="57"/>
      <c r="J19" s="190"/>
      <c r="L19"/>
      <c r="M19"/>
      <c r="N19"/>
      <c r="O19"/>
      <c r="P19"/>
      <c r="Q19"/>
    </row>
    <row r="20" spans="2:17" ht="14.25" customHeight="1">
      <c r="B20" s="482"/>
      <c r="C20" s="186" t="s">
        <v>78</v>
      </c>
      <c r="D20" s="336">
        <v>4.5</v>
      </c>
      <c r="E20" s="235">
        <f>+'Estudio de Mercado_Poda '!$X$7</f>
        <v>182192</v>
      </c>
      <c r="F20" s="235">
        <f t="shared" si="1"/>
        <v>819864</v>
      </c>
      <c r="G20" s="236" t="s">
        <v>3</v>
      </c>
      <c r="H20" s="57"/>
      <c r="J20" s="190"/>
      <c r="K20" s="240"/>
      <c r="L20"/>
      <c r="M20"/>
      <c r="N20"/>
      <c r="O20"/>
      <c r="P20"/>
      <c r="Q20"/>
    </row>
    <row r="21" spans="2:17" ht="14.25" customHeight="1">
      <c r="B21" s="482"/>
      <c r="C21" s="186" t="s">
        <v>79</v>
      </c>
      <c r="D21" s="336">
        <v>4.5</v>
      </c>
      <c r="E21" s="235">
        <f>+'Estudio de Mercado_Poda '!$X$7</f>
        <v>182192</v>
      </c>
      <c r="F21" s="235">
        <f t="shared" si="1"/>
        <v>819864</v>
      </c>
      <c r="G21" s="236" t="s">
        <v>3</v>
      </c>
      <c r="H21" s="57"/>
      <c r="J21" s="190"/>
      <c r="L21"/>
      <c r="M21"/>
      <c r="N21"/>
      <c r="O21"/>
      <c r="P21"/>
      <c r="Q21"/>
    </row>
    <row r="22" spans="2:17" ht="14.25" customHeight="1">
      <c r="B22" s="482"/>
      <c r="C22" s="238" t="s">
        <v>81</v>
      </c>
      <c r="D22" s="336">
        <v>4.5</v>
      </c>
      <c r="E22" s="235">
        <f>+'Estudio de Mercado_Poda '!$X$7</f>
        <v>182192</v>
      </c>
      <c r="F22" s="235">
        <f t="shared" si="1"/>
        <v>819864</v>
      </c>
      <c r="G22" s="239" t="s">
        <v>3</v>
      </c>
      <c r="H22" s="57"/>
      <c r="J22" s="190"/>
      <c r="L22"/>
      <c r="M22"/>
      <c r="N22"/>
      <c r="O22"/>
      <c r="P22"/>
      <c r="Q22"/>
    </row>
    <row r="23" spans="2:17" ht="14.25" customHeight="1">
      <c r="B23" s="482"/>
      <c r="C23" s="186" t="s">
        <v>116</v>
      </c>
      <c r="D23" s="336">
        <v>4.5</v>
      </c>
      <c r="E23" s="235">
        <f>+'Estudio de Mercado_Poda '!$X$7</f>
        <v>182192</v>
      </c>
      <c r="F23" s="235">
        <f t="shared" si="1"/>
        <v>819864</v>
      </c>
      <c r="G23" s="236" t="s">
        <v>53</v>
      </c>
      <c r="H23" s="57"/>
      <c r="J23" s="190"/>
      <c r="L23"/>
      <c r="M23"/>
      <c r="N23"/>
      <c r="O23"/>
      <c r="P23"/>
      <c r="Q23"/>
    </row>
    <row r="24" spans="2:17" ht="14.25" customHeight="1">
      <c r="B24" s="482"/>
      <c r="C24" s="186" t="s">
        <v>127</v>
      </c>
      <c r="D24" s="336">
        <v>4.5</v>
      </c>
      <c r="E24" s="235">
        <f>+'Estudio de Mercado_Poda '!$X$7</f>
        <v>182192</v>
      </c>
      <c r="F24" s="235">
        <f t="shared" si="1"/>
        <v>819864</v>
      </c>
      <c r="G24" s="236" t="s">
        <v>3</v>
      </c>
      <c r="H24" s="57"/>
      <c r="J24" s="190"/>
      <c r="L24"/>
      <c r="M24"/>
      <c r="N24"/>
      <c r="O24"/>
      <c r="P24"/>
      <c r="Q24"/>
    </row>
    <row r="25" spans="2:17" ht="14.25" customHeight="1">
      <c r="B25" s="482"/>
      <c r="C25" s="186" t="s">
        <v>128</v>
      </c>
      <c r="D25" s="336">
        <v>4.5</v>
      </c>
      <c r="E25" s="235">
        <f>+'Estudio de Mercado_Poda '!$X$7</f>
        <v>182192</v>
      </c>
      <c r="F25" s="235">
        <f t="shared" si="1"/>
        <v>819864</v>
      </c>
      <c r="G25" s="237" t="s">
        <v>53</v>
      </c>
      <c r="H25" s="43"/>
      <c r="J25" s="190"/>
      <c r="L25"/>
      <c r="M25"/>
      <c r="N25"/>
      <c r="O25"/>
      <c r="P25"/>
      <c r="Q25"/>
    </row>
    <row r="26" spans="2:17" ht="14.25" customHeight="1">
      <c r="B26" s="482"/>
      <c r="C26" s="241" t="s">
        <v>129</v>
      </c>
      <c r="D26" s="336">
        <v>4.5</v>
      </c>
      <c r="E26" s="235">
        <f>+'Estudio de Mercado_Poda '!$X$7</f>
        <v>182192</v>
      </c>
      <c r="F26" s="235">
        <f t="shared" si="1"/>
        <v>819864</v>
      </c>
      <c r="G26" s="239" t="s">
        <v>53</v>
      </c>
      <c r="H26" s="57"/>
      <c r="J26" s="190"/>
      <c r="L26"/>
      <c r="M26"/>
      <c r="N26"/>
      <c r="O26"/>
      <c r="P26"/>
      <c r="Q26"/>
    </row>
    <row r="27" spans="2:17" ht="14.25" customHeight="1">
      <c r="B27" s="482"/>
      <c r="C27" s="238" t="s">
        <v>70</v>
      </c>
      <c r="D27" s="336">
        <v>4.5</v>
      </c>
      <c r="E27" s="235">
        <f>+'Estudio de Mercado_Poda '!$X$7</f>
        <v>182192</v>
      </c>
      <c r="F27" s="235">
        <f t="shared" si="1"/>
        <v>819864</v>
      </c>
      <c r="G27" s="239" t="s">
        <v>3</v>
      </c>
      <c r="H27" s="57"/>
      <c r="J27" s="190"/>
      <c r="L27"/>
      <c r="M27"/>
      <c r="N27"/>
      <c r="O27"/>
      <c r="P27"/>
      <c r="Q27"/>
    </row>
    <row r="28" spans="2:17" ht="14.25" customHeight="1">
      <c r="B28" s="482"/>
      <c r="C28" s="186" t="s">
        <v>90</v>
      </c>
      <c r="D28" s="336">
        <v>4.5</v>
      </c>
      <c r="E28" s="235">
        <f>+'Estudio de Mercado_Poda '!$X$7</f>
        <v>182192</v>
      </c>
      <c r="F28" s="235">
        <f t="shared" si="1"/>
        <v>819864</v>
      </c>
      <c r="G28" s="236" t="s">
        <v>3</v>
      </c>
      <c r="H28" s="57"/>
      <c r="J28" s="190"/>
      <c r="L28"/>
      <c r="M28"/>
      <c r="N28"/>
      <c r="O28"/>
      <c r="P28"/>
      <c r="Q28"/>
    </row>
    <row r="29" spans="2:17">
      <c r="B29" s="482"/>
      <c r="C29" s="186" t="s">
        <v>88</v>
      </c>
      <c r="D29" s="336">
        <v>4.5</v>
      </c>
      <c r="E29" s="235">
        <f>+'Estudio de Mercado_Poda '!$X$7</f>
        <v>182192</v>
      </c>
      <c r="F29" s="235">
        <f t="shared" si="1"/>
        <v>819864</v>
      </c>
      <c r="G29" s="236" t="s">
        <v>3</v>
      </c>
      <c r="H29" s="57"/>
      <c r="J29" s="190"/>
      <c r="L29"/>
      <c r="M29"/>
      <c r="N29"/>
      <c r="O29"/>
      <c r="P29"/>
      <c r="Q29"/>
    </row>
    <row r="30" spans="2:17">
      <c r="B30" s="482"/>
      <c r="C30" s="238" t="s">
        <v>89</v>
      </c>
      <c r="D30" s="336">
        <v>4.5</v>
      </c>
      <c r="E30" s="235">
        <f>+'Estudio de Mercado_Poda '!$X$7</f>
        <v>182192</v>
      </c>
      <c r="F30" s="235">
        <f t="shared" si="1"/>
        <v>819864</v>
      </c>
      <c r="G30" s="239" t="s">
        <v>3</v>
      </c>
      <c r="H30" s="57"/>
      <c r="J30" s="190"/>
      <c r="L30"/>
      <c r="M30"/>
      <c r="N30"/>
      <c r="O30"/>
      <c r="P30"/>
      <c r="Q30"/>
    </row>
    <row r="31" spans="2:17">
      <c r="B31" s="482"/>
      <c r="C31" s="186" t="s">
        <v>130</v>
      </c>
      <c r="D31" s="336">
        <v>4.5</v>
      </c>
      <c r="E31" s="235">
        <f>+'Estudio de Mercado_Poda '!$X$7</f>
        <v>182192</v>
      </c>
      <c r="F31" s="235">
        <f t="shared" si="1"/>
        <v>819864</v>
      </c>
      <c r="G31" s="236" t="s">
        <v>53</v>
      </c>
      <c r="J31" s="190"/>
      <c r="L31"/>
      <c r="M31"/>
      <c r="N31"/>
      <c r="O31"/>
      <c r="P31"/>
      <c r="Q31"/>
    </row>
    <row r="32" spans="2:17">
      <c r="L32"/>
      <c r="M32"/>
      <c r="N32"/>
      <c r="O32"/>
      <c r="P32"/>
      <c r="Q32"/>
    </row>
    <row r="33" spans="2:17">
      <c r="L33"/>
      <c r="M33"/>
      <c r="N33"/>
      <c r="O33"/>
      <c r="P33"/>
      <c r="Q33"/>
    </row>
    <row r="34" spans="2:17" s="242" customFormat="1" ht="15">
      <c r="B34" s="483" t="s">
        <v>131</v>
      </c>
      <c r="C34" s="483"/>
      <c r="D34" s="483"/>
      <c r="E34" s="483"/>
      <c r="F34" s="483"/>
      <c r="L34"/>
      <c r="M34"/>
      <c r="N34"/>
      <c r="O34"/>
      <c r="P34"/>
      <c r="Q34"/>
    </row>
    <row r="35" spans="2:17" s="242" customFormat="1">
      <c r="B35" s="243"/>
      <c r="C35" s="228"/>
      <c r="D35" s="225"/>
      <c r="E35" s="244"/>
      <c r="F35" s="244"/>
      <c r="L35"/>
      <c r="M35"/>
      <c r="N35"/>
      <c r="O35"/>
      <c r="P35"/>
      <c r="Q35"/>
    </row>
    <row r="36" spans="2:17" s="242" customFormat="1">
      <c r="B36" s="243"/>
      <c r="C36" s="228"/>
      <c r="D36" s="225"/>
      <c r="E36" s="245" t="s">
        <v>132</v>
      </c>
      <c r="F36" s="245" t="s">
        <v>133</v>
      </c>
      <c r="L36"/>
      <c r="M36"/>
      <c r="N36"/>
      <c r="O36"/>
      <c r="P36"/>
      <c r="Q36"/>
    </row>
    <row r="37" spans="2:17" s="242" customFormat="1">
      <c r="B37" s="225"/>
      <c r="C37" s="228"/>
      <c r="D37" s="225"/>
      <c r="E37" s="339">
        <f>SUMIF($G$9:$G$31,"ANM",$F$9:$F$31)</f>
        <v>9018504</v>
      </c>
      <c r="F37" s="337" t="s">
        <v>134</v>
      </c>
      <c r="G37" s="250"/>
      <c r="L37"/>
      <c r="M37"/>
      <c r="N37"/>
      <c r="O37"/>
      <c r="P37"/>
      <c r="Q37"/>
    </row>
    <row r="38" spans="2:17" s="242" customFormat="1" ht="14.25" customHeight="1">
      <c r="B38" s="225"/>
      <c r="C38" s="228"/>
      <c r="D38" s="225"/>
      <c r="E38" s="340">
        <f>SUMIF($G$9:$G$31,"SGR",$F$9:$F$31)</f>
        <v>9838368</v>
      </c>
      <c r="F38" s="337" t="s">
        <v>135</v>
      </c>
      <c r="G38" s="250"/>
      <c r="L38"/>
      <c r="M38"/>
      <c r="N38"/>
      <c r="O38"/>
      <c r="P38"/>
      <c r="Q38"/>
    </row>
    <row r="39" spans="2:17" s="242" customFormat="1">
      <c r="B39" s="225"/>
      <c r="C39" s="228"/>
      <c r="D39" s="225"/>
      <c r="E39" s="341">
        <f>SUM(E37:E38)</f>
        <v>18856872</v>
      </c>
      <c r="F39" s="338">
        <f>SUM(F37:F38)</f>
        <v>0</v>
      </c>
      <c r="G39" s="250"/>
      <c r="L39"/>
      <c r="M39"/>
      <c r="N39"/>
      <c r="O39"/>
      <c r="P39"/>
      <c r="Q39"/>
    </row>
    <row r="40" spans="2:17" s="242" customFormat="1">
      <c r="B40" s="225"/>
      <c r="C40" s="228"/>
      <c r="D40" s="225"/>
      <c r="E40" s="244"/>
      <c r="F40" s="244"/>
      <c r="L40"/>
      <c r="M40"/>
      <c r="N40"/>
      <c r="O40"/>
      <c r="P40"/>
      <c r="Q40"/>
    </row>
    <row r="41" spans="2:17" s="242" customFormat="1">
      <c r="B41" s="184" t="s">
        <v>136</v>
      </c>
      <c r="C41" s="228"/>
      <c r="D41" s="225"/>
      <c r="E41" s="244"/>
      <c r="F41" s="244"/>
      <c r="L41"/>
      <c r="M41"/>
      <c r="N41"/>
      <c r="O41"/>
      <c r="P41"/>
      <c r="Q41"/>
    </row>
    <row r="42" spans="2:17" s="242" customFormat="1">
      <c r="B42" s="225"/>
      <c r="C42" s="228"/>
      <c r="D42" s="225"/>
      <c r="E42" s="244"/>
      <c r="F42" s="244"/>
      <c r="L42"/>
      <c r="M42"/>
      <c r="N42"/>
      <c r="O42"/>
      <c r="P42"/>
      <c r="Q42"/>
    </row>
    <row r="43" spans="2:17" s="242" customFormat="1">
      <c r="B43" s="225"/>
      <c r="C43" s="228"/>
      <c r="D43" s="225"/>
      <c r="E43" s="244"/>
      <c r="F43" s="244"/>
    </row>
    <row r="44" spans="2:17" s="242" customFormat="1">
      <c r="B44" s="246"/>
      <c r="C44" s="247"/>
      <c r="D44" s="225"/>
      <c r="E44" s="244"/>
      <c r="F44" s="244"/>
    </row>
    <row r="45" spans="2:17" s="242" customFormat="1">
      <c r="B45" s="184"/>
      <c r="C45" s="228"/>
      <c r="D45" s="225"/>
      <c r="E45" s="244"/>
      <c r="F45" s="244"/>
    </row>
    <row r="46" spans="2:17" s="242" customFormat="1">
      <c r="B46" s="225"/>
      <c r="C46" s="228"/>
      <c r="D46" s="225"/>
      <c r="E46" s="244"/>
      <c r="F46" s="244"/>
    </row>
    <row r="47" spans="2:17" s="242" customFormat="1">
      <c r="B47" s="225" t="s">
        <v>105</v>
      </c>
      <c r="C47" s="228"/>
      <c r="D47" s="225"/>
      <c r="E47" s="244"/>
      <c r="F47" s="244"/>
    </row>
    <row r="48" spans="2:17" s="242" customFormat="1">
      <c r="B48" s="225" t="s">
        <v>106</v>
      </c>
      <c r="C48" s="228"/>
      <c r="D48" s="225"/>
      <c r="E48" s="244"/>
      <c r="F48" s="244"/>
    </row>
  </sheetData>
  <mergeCells count="7">
    <mergeCell ref="B12:B31"/>
    <mergeCell ref="B34:F34"/>
    <mergeCell ref="B9:B11"/>
    <mergeCell ref="B2:F2"/>
    <mergeCell ref="B3:F3"/>
    <mergeCell ref="B4:F4"/>
    <mergeCell ref="B5:D5"/>
  </mergeCells>
  <conditionalFormatting sqref="C1:C1048576">
    <cfRule type="cellIs" dxfId="4" priority="1" operator="equal">
      <formula>"AMAGÁ"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54" orientation="portrait" r:id="rId1"/>
  <headerFooter>
    <oddFooter>&amp;L_x000D_&amp;1#&amp;"Aptos"&amp;10&amp;K000000 Informacion publica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C9900"/>
    <pageSetUpPr fitToPage="1"/>
  </sheetPr>
  <dimension ref="B2:H52"/>
  <sheetViews>
    <sheetView showGridLines="0" topLeftCell="A11" zoomScale="80" zoomScaleNormal="80" workbookViewId="0">
      <selection activeCell="E15" sqref="E15"/>
    </sheetView>
  </sheetViews>
  <sheetFormatPr defaultColWidth="11.42578125" defaultRowHeight="14.25"/>
  <cols>
    <col min="1" max="1" width="5.42578125" style="2" customWidth="1"/>
    <col min="2" max="2" width="25.28515625" style="2" customWidth="1"/>
    <col min="3" max="3" width="41" style="219" customWidth="1"/>
    <col min="4" max="4" width="22.5703125" style="2" customWidth="1"/>
    <col min="5" max="5" width="20.140625" style="220" customWidth="1"/>
    <col min="6" max="6" width="13.28515625" style="2" bestFit="1" customWidth="1"/>
    <col min="7" max="7" width="11.42578125" style="2" customWidth="1"/>
    <col min="8" max="8" width="17.5703125" style="2" customWidth="1"/>
    <col min="9" max="16384" width="11.42578125" style="2"/>
  </cols>
  <sheetData>
    <row r="2" spans="2:8" ht="23.25">
      <c r="B2" s="490" t="s">
        <v>22</v>
      </c>
      <c r="C2" s="490"/>
      <c r="D2" s="490"/>
      <c r="E2" s="490"/>
      <c r="F2" s="194"/>
    </row>
    <row r="3" spans="2:8" ht="23.25">
      <c r="B3" s="491" t="s">
        <v>108</v>
      </c>
      <c r="C3" s="491"/>
      <c r="D3" s="491"/>
      <c r="E3" s="491"/>
      <c r="F3" s="194"/>
    </row>
    <row r="4" spans="2:8" ht="18">
      <c r="B4" s="491"/>
      <c r="C4" s="491"/>
      <c r="D4" s="491"/>
      <c r="E4" s="491"/>
    </row>
    <row r="5" spans="2:8" ht="18">
      <c r="B5" s="196"/>
      <c r="C5" s="491" t="s">
        <v>137</v>
      </c>
      <c r="D5" s="491"/>
      <c r="E5" s="197"/>
    </row>
    <row r="6" spans="2:8" ht="18">
      <c r="B6" s="196"/>
      <c r="C6" s="195"/>
      <c r="D6" s="195"/>
      <c r="E6" s="197"/>
      <c r="H6" s="251"/>
    </row>
    <row r="7" spans="2:8" ht="15.75">
      <c r="C7" s="496" t="s">
        <v>109</v>
      </c>
      <c r="D7" s="496"/>
      <c r="E7" s="197">
        <v>556373</v>
      </c>
    </row>
    <row r="8" spans="2:8" ht="15.75">
      <c r="C8" s="198"/>
      <c r="D8" s="198"/>
      <c r="E8" s="199"/>
    </row>
    <row r="9" spans="2:8">
      <c r="B9" s="200" t="s">
        <v>110</v>
      </c>
      <c r="C9" s="201"/>
      <c r="D9" s="202"/>
      <c r="E9" s="203"/>
      <c r="F9" s="144"/>
    </row>
    <row r="10" spans="2:8">
      <c r="B10" s="204" t="s">
        <v>111</v>
      </c>
      <c r="C10" s="205" t="s">
        <v>33</v>
      </c>
      <c r="D10" s="206" t="s">
        <v>34</v>
      </c>
      <c r="E10" s="207" t="s">
        <v>138</v>
      </c>
      <c r="F10" s="144"/>
    </row>
    <row r="11" spans="2:8" ht="14.25" customHeight="1">
      <c r="B11" s="492" t="s">
        <v>115</v>
      </c>
      <c r="C11" s="208" t="s">
        <v>78</v>
      </c>
      <c r="D11" s="209">
        <v>1</v>
      </c>
      <c r="E11" s="210">
        <f>+'Estudio de Mercado_Poda '!$X$6</f>
        <v>556373</v>
      </c>
      <c r="F11" s="211" t="s">
        <v>53</v>
      </c>
      <c r="G11" s="212"/>
      <c r="H11" s="212"/>
    </row>
    <row r="12" spans="2:8" ht="14.25" customHeight="1">
      <c r="B12" s="492"/>
      <c r="C12" s="208" t="s">
        <v>116</v>
      </c>
      <c r="D12" s="209">
        <v>1</v>
      </c>
      <c r="E12" s="210">
        <f>+'Estudio de Mercado_Poda '!$X$6</f>
        <v>556373</v>
      </c>
      <c r="F12" s="211" t="s">
        <v>3</v>
      </c>
    </row>
    <row r="13" spans="2:8" ht="14.25" customHeight="1">
      <c r="B13" s="492"/>
      <c r="C13" s="208" t="s">
        <v>117</v>
      </c>
      <c r="D13" s="209">
        <v>1</v>
      </c>
      <c r="E13" s="210">
        <f>+'Estudio de Mercado_Poda '!$X$6</f>
        <v>556373</v>
      </c>
      <c r="F13" s="211" t="s">
        <v>53</v>
      </c>
      <c r="H13" s="212"/>
    </row>
    <row r="14" spans="2:8" ht="14.25" customHeight="1">
      <c r="B14" s="493" t="s">
        <v>118</v>
      </c>
      <c r="C14" s="326" t="s">
        <v>119</v>
      </c>
      <c r="D14" s="209">
        <v>1</v>
      </c>
      <c r="E14" s="210">
        <f>+'Estudio de Mercado_Poda '!$X$6</f>
        <v>556373</v>
      </c>
      <c r="F14" s="211" t="s">
        <v>53</v>
      </c>
    </row>
    <row r="15" spans="2:8" ht="14.25" customHeight="1">
      <c r="B15" s="494"/>
      <c r="C15" s="208" t="s">
        <v>120</v>
      </c>
      <c r="D15" s="209">
        <v>1</v>
      </c>
      <c r="E15" s="210">
        <f>+'Estudio de Mercado_Poda '!$X$6</f>
        <v>556373</v>
      </c>
      <c r="F15" s="327" t="s">
        <v>53</v>
      </c>
      <c r="G15" s="213"/>
      <c r="H15" s="213"/>
    </row>
    <row r="16" spans="2:8" ht="14.25" customHeight="1">
      <c r="B16" s="494"/>
      <c r="C16" s="208" t="s">
        <v>121</v>
      </c>
      <c r="D16" s="209">
        <v>1</v>
      </c>
      <c r="E16" s="210">
        <f>+'Estudio de Mercado_Poda '!$X$6</f>
        <v>556373</v>
      </c>
      <c r="F16" s="211" t="s">
        <v>53</v>
      </c>
    </row>
    <row r="17" spans="2:6" ht="14.25" customHeight="1">
      <c r="B17" s="494"/>
      <c r="C17" s="208" t="s">
        <v>122</v>
      </c>
      <c r="D17" s="209">
        <v>1</v>
      </c>
      <c r="E17" s="210">
        <f>+'Estudio de Mercado_Poda '!$X$6</f>
        <v>556373</v>
      </c>
      <c r="F17" s="211" t="s">
        <v>53</v>
      </c>
    </row>
    <row r="18" spans="2:6" ht="14.25" customHeight="1">
      <c r="B18" s="494"/>
      <c r="C18" s="208" t="s">
        <v>123</v>
      </c>
      <c r="D18" s="209">
        <v>1</v>
      </c>
      <c r="E18" s="210">
        <f>+'Estudio de Mercado_Poda '!$X$6</f>
        <v>556373</v>
      </c>
      <c r="F18" s="327" t="s">
        <v>3</v>
      </c>
    </row>
    <row r="19" spans="2:6" ht="14.1" customHeight="1">
      <c r="B19" s="494"/>
      <c r="C19" s="208" t="s">
        <v>124</v>
      </c>
      <c r="D19" s="209">
        <v>1</v>
      </c>
      <c r="E19" s="210">
        <f>+'Estudio de Mercado_Poda '!$X$6</f>
        <v>556373</v>
      </c>
      <c r="F19" s="211" t="s">
        <v>3</v>
      </c>
    </row>
    <row r="20" spans="2:6" ht="14.25" customHeight="1">
      <c r="B20" s="494"/>
      <c r="C20" s="208" t="s">
        <v>125</v>
      </c>
      <c r="D20" s="209">
        <v>1</v>
      </c>
      <c r="E20" s="210">
        <f>+'Estudio de Mercado_Poda '!$X$6</f>
        <v>556373</v>
      </c>
      <c r="F20" s="211" t="s">
        <v>3</v>
      </c>
    </row>
    <row r="21" spans="2:6" ht="14.25" customHeight="1">
      <c r="B21" s="494"/>
      <c r="C21" s="208" t="s">
        <v>126</v>
      </c>
      <c r="D21" s="209">
        <v>1</v>
      </c>
      <c r="E21" s="210">
        <f>+'Estudio de Mercado_Poda '!$X$6</f>
        <v>556373</v>
      </c>
      <c r="F21" s="211" t="s">
        <v>53</v>
      </c>
    </row>
    <row r="22" spans="2:6" ht="14.25" customHeight="1">
      <c r="B22" s="494"/>
      <c r="C22" s="208" t="s">
        <v>78</v>
      </c>
      <c r="D22" s="209">
        <v>1</v>
      </c>
      <c r="E22" s="210">
        <f>+'Estudio de Mercado_Poda '!$X$6</f>
        <v>556373</v>
      </c>
      <c r="F22" s="211" t="s">
        <v>3</v>
      </c>
    </row>
    <row r="23" spans="2:6" ht="14.25" customHeight="1">
      <c r="B23" s="494"/>
      <c r="C23" s="208" t="s">
        <v>79</v>
      </c>
      <c r="D23" s="209">
        <v>1</v>
      </c>
      <c r="E23" s="210">
        <f>+'Estudio de Mercado_Poda '!$X$6</f>
        <v>556373</v>
      </c>
      <c r="F23" s="211" t="s">
        <v>3</v>
      </c>
    </row>
    <row r="24" spans="2:6" ht="14.25" customHeight="1">
      <c r="B24" s="494"/>
      <c r="C24" s="208" t="s">
        <v>81</v>
      </c>
      <c r="D24" s="209">
        <v>1</v>
      </c>
      <c r="E24" s="210">
        <f>+'Estudio de Mercado_Poda '!$X$6</f>
        <v>556373</v>
      </c>
      <c r="F24" s="211" t="s">
        <v>3</v>
      </c>
    </row>
    <row r="25" spans="2:6" ht="14.25" customHeight="1">
      <c r="B25" s="494"/>
      <c r="C25" s="208" t="s">
        <v>116</v>
      </c>
      <c r="D25" s="209">
        <v>1</v>
      </c>
      <c r="E25" s="210">
        <f>+'Estudio de Mercado_Poda '!$X$6</f>
        <v>556373</v>
      </c>
      <c r="F25" s="211" t="s">
        <v>53</v>
      </c>
    </row>
    <row r="26" spans="2:6" ht="14.25" customHeight="1">
      <c r="B26" s="494"/>
      <c r="C26" s="208" t="s">
        <v>127</v>
      </c>
      <c r="D26" s="209">
        <v>1</v>
      </c>
      <c r="E26" s="210">
        <f>+'Estudio de Mercado_Poda '!$X$6</f>
        <v>556373</v>
      </c>
      <c r="F26" s="211" t="s">
        <v>3</v>
      </c>
    </row>
    <row r="27" spans="2:6" ht="14.25" customHeight="1">
      <c r="B27" s="494"/>
      <c r="C27" s="208" t="s">
        <v>128</v>
      </c>
      <c r="D27" s="209">
        <v>1</v>
      </c>
      <c r="E27" s="210">
        <f>+'Estudio de Mercado_Poda '!$X$6</f>
        <v>556373</v>
      </c>
      <c r="F27" s="327" t="s">
        <v>53</v>
      </c>
    </row>
    <row r="28" spans="2:6" ht="14.25" customHeight="1">
      <c r="B28" s="494"/>
      <c r="C28" s="214" t="s">
        <v>129</v>
      </c>
      <c r="D28" s="209">
        <v>1</v>
      </c>
      <c r="E28" s="210">
        <f>+'Estudio de Mercado_Poda '!$X$6</f>
        <v>556373</v>
      </c>
      <c r="F28" s="211" t="s">
        <v>53</v>
      </c>
    </row>
    <row r="29" spans="2:6" ht="14.25" customHeight="1">
      <c r="B29" s="494"/>
      <c r="C29" s="208" t="s">
        <v>70</v>
      </c>
      <c r="D29" s="209">
        <v>1</v>
      </c>
      <c r="E29" s="210">
        <f>+'Estudio de Mercado_Poda '!$X$6</f>
        <v>556373</v>
      </c>
      <c r="F29" s="211" t="s">
        <v>3</v>
      </c>
    </row>
    <row r="30" spans="2:6" ht="14.25" customHeight="1">
      <c r="B30" s="494"/>
      <c r="C30" s="208" t="s">
        <v>90</v>
      </c>
      <c r="D30" s="209">
        <v>1</v>
      </c>
      <c r="E30" s="210">
        <f>+'Estudio de Mercado_Poda '!$X$6</f>
        <v>556373</v>
      </c>
      <c r="F30" s="211" t="s">
        <v>3</v>
      </c>
    </row>
    <row r="31" spans="2:6">
      <c r="B31" s="494"/>
      <c r="C31" s="208" t="s">
        <v>88</v>
      </c>
      <c r="D31" s="209">
        <v>1</v>
      </c>
      <c r="E31" s="210">
        <f>+'Estudio de Mercado_Poda '!$X$6</f>
        <v>556373</v>
      </c>
      <c r="F31" s="211" t="s">
        <v>3</v>
      </c>
    </row>
    <row r="32" spans="2:6" ht="15" customHeight="1">
      <c r="B32" s="494"/>
      <c r="C32" s="208" t="s">
        <v>89</v>
      </c>
      <c r="D32" s="209">
        <v>1</v>
      </c>
      <c r="E32" s="210">
        <f>+'Estudio de Mercado_Poda '!$X$6</f>
        <v>556373</v>
      </c>
      <c r="F32" s="211" t="s">
        <v>3</v>
      </c>
    </row>
    <row r="33" spans="2:7">
      <c r="B33" s="494"/>
      <c r="C33" s="208" t="s">
        <v>130</v>
      </c>
      <c r="D33" s="209">
        <v>1</v>
      </c>
      <c r="E33" s="210">
        <f>+'Estudio de Mercado_Poda '!$X$6</f>
        <v>556373</v>
      </c>
      <c r="F33" s="211" t="s">
        <v>53</v>
      </c>
    </row>
    <row r="34" spans="2:7">
      <c r="B34" s="495"/>
      <c r="C34" s="215" t="s">
        <v>43</v>
      </c>
      <c r="D34" s="216">
        <f>SUM(D11:D33)</f>
        <v>23</v>
      </c>
      <c r="E34" s="217">
        <f>SUM(E11:E33)</f>
        <v>12796579</v>
      </c>
      <c r="F34" s="144"/>
    </row>
    <row r="37" spans="2:7">
      <c r="B37" s="489"/>
      <c r="C37" s="489"/>
      <c r="D37" s="489"/>
      <c r="E37" s="489"/>
    </row>
    <row r="38" spans="2:7">
      <c r="B38" s="218"/>
    </row>
    <row r="39" spans="2:7">
      <c r="B39" s="218"/>
      <c r="E39" s="322" t="s">
        <v>138</v>
      </c>
      <c r="F39" s="322" t="s">
        <v>133</v>
      </c>
    </row>
    <row r="40" spans="2:7">
      <c r="B40" s="144"/>
      <c r="C40" s="201"/>
      <c r="E40" s="323">
        <f>SUMIF($F$11:$F$33,"ANM",$E$11:$E$33)</f>
        <v>6120103</v>
      </c>
      <c r="F40" s="324" t="s">
        <v>134</v>
      </c>
      <c r="G40" s="144"/>
    </row>
    <row r="41" spans="2:7" ht="14.25" customHeight="1">
      <c r="B41" s="144"/>
      <c r="C41" s="201"/>
      <c r="E41" s="323">
        <f>SUMIF($F$11:$F$33,"SGR",$E$11:$E$33)</f>
        <v>6676476</v>
      </c>
      <c r="F41" s="324" t="s">
        <v>135</v>
      </c>
      <c r="G41" s="144"/>
    </row>
    <row r="42" spans="2:7">
      <c r="C42" s="201"/>
      <c r="D42" s="144"/>
      <c r="E42" s="325">
        <f>SUM(E40:E41)</f>
        <v>12796579</v>
      </c>
      <c r="F42" s="324"/>
      <c r="G42" s="144"/>
    </row>
    <row r="43" spans="2:7">
      <c r="B43" s="144"/>
      <c r="C43" s="201"/>
      <c r="D43" s="144"/>
      <c r="E43" s="221"/>
      <c r="F43" s="144"/>
      <c r="G43" s="144"/>
    </row>
    <row r="44" spans="2:7">
      <c r="B44" s="222"/>
      <c r="C44" s="201"/>
      <c r="D44" s="144"/>
      <c r="E44" s="221"/>
      <c r="F44" s="144"/>
      <c r="G44" s="144"/>
    </row>
    <row r="45" spans="2:7">
      <c r="C45" s="2"/>
      <c r="E45" s="2"/>
      <c r="F45" s="144"/>
      <c r="G45" s="144"/>
    </row>
    <row r="46" spans="2:7">
      <c r="C46" s="2"/>
      <c r="E46" s="2"/>
      <c r="F46" s="144"/>
      <c r="G46" s="144"/>
    </row>
    <row r="47" spans="2:7">
      <c r="C47" s="2"/>
      <c r="E47" s="2"/>
      <c r="F47" s="144"/>
      <c r="G47" s="144"/>
    </row>
    <row r="48" spans="2:7" ht="15">
      <c r="B48"/>
      <c r="C48"/>
      <c r="D48"/>
      <c r="E48" s="221"/>
      <c r="F48" s="144"/>
      <c r="G48" s="144"/>
    </row>
    <row r="49" spans="2:7" ht="15">
      <c r="B49"/>
      <c r="C49"/>
      <c r="D49"/>
      <c r="E49" s="221"/>
      <c r="F49" s="144"/>
      <c r="G49" s="144"/>
    </row>
    <row r="50" spans="2:7" ht="15">
      <c r="B50"/>
      <c r="C50"/>
      <c r="D50"/>
      <c r="E50" s="221"/>
      <c r="F50" s="144"/>
      <c r="G50" s="144"/>
    </row>
    <row r="51" spans="2:7" ht="15">
      <c r="B51"/>
      <c r="C51"/>
      <c r="D51"/>
      <c r="E51" s="221"/>
      <c r="F51" s="144"/>
      <c r="G51" s="144"/>
    </row>
    <row r="52" spans="2:7" ht="15">
      <c r="B52"/>
      <c r="C52"/>
      <c r="D52"/>
    </row>
  </sheetData>
  <mergeCells count="8">
    <mergeCell ref="B37:E37"/>
    <mergeCell ref="B2:E2"/>
    <mergeCell ref="B3:E3"/>
    <mergeCell ref="B4:E4"/>
    <mergeCell ref="B11:B13"/>
    <mergeCell ref="B14:B34"/>
    <mergeCell ref="C7:D7"/>
    <mergeCell ref="C5:D5"/>
  </mergeCells>
  <conditionalFormatting sqref="C1:C4 C9:C44 C53:C1048576">
    <cfRule type="cellIs" dxfId="3" priority="1" operator="equal">
      <formula>"AMAGÁ"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landscape" r:id="rId1"/>
  <headerFooter>
    <oddFooter>&amp;L_x000D_&amp;1#&amp;"Aptos"&amp;10&amp;K000000 Informacion publica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-0.249977111117893"/>
  </sheetPr>
  <dimension ref="A2:D8"/>
  <sheetViews>
    <sheetView workbookViewId="0">
      <selection activeCell="C3" sqref="C3"/>
    </sheetView>
  </sheetViews>
  <sheetFormatPr defaultColWidth="11.42578125" defaultRowHeight="15"/>
  <cols>
    <col min="1" max="1" width="25.7109375" customWidth="1"/>
    <col min="2" max="3" width="18.42578125" customWidth="1"/>
    <col min="4" max="4" width="21.42578125" customWidth="1"/>
  </cols>
  <sheetData>
    <row r="2" spans="1:4" ht="47.25">
      <c r="A2" s="331" t="s">
        <v>139</v>
      </c>
      <c r="B2" s="332" t="s">
        <v>140</v>
      </c>
      <c r="C2" s="333" t="s">
        <v>141</v>
      </c>
      <c r="D2" s="334" t="s">
        <v>132</v>
      </c>
    </row>
    <row r="3" spans="1:4" ht="47.25">
      <c r="A3" s="329" t="s">
        <v>142</v>
      </c>
      <c r="B3" s="330">
        <f>+'Estudio de Mercado_Poda '!X8</f>
        <v>3778133</v>
      </c>
      <c r="C3" s="335">
        <v>1</v>
      </c>
      <c r="D3" s="330">
        <f>+B3*C3</f>
        <v>3778133</v>
      </c>
    </row>
    <row r="4" spans="1:4" ht="63">
      <c r="A4" s="329" t="s">
        <v>143</v>
      </c>
      <c r="B4" s="330">
        <f>+'Estudio de Mercado_Poda '!X9</f>
        <v>8511585</v>
      </c>
      <c r="C4" s="335">
        <v>2</v>
      </c>
      <c r="D4" s="330">
        <f>+B4*C4</f>
        <v>17023170</v>
      </c>
    </row>
    <row r="5" spans="1:4">
      <c r="A5" s="497" t="s">
        <v>132</v>
      </c>
      <c r="B5" s="497"/>
      <c r="C5" s="497"/>
      <c r="D5" s="311">
        <f>+D4+D3</f>
        <v>20801303</v>
      </c>
    </row>
    <row r="7" spans="1:4">
      <c r="A7" s="498" t="s">
        <v>144</v>
      </c>
      <c r="B7" s="498"/>
      <c r="C7" s="498"/>
      <c r="D7" s="498"/>
    </row>
    <row r="8" spans="1:4" ht="48.75" customHeight="1">
      <c r="A8" s="498"/>
      <c r="B8" s="498"/>
      <c r="C8" s="498"/>
      <c r="D8" s="498"/>
    </row>
  </sheetData>
  <mergeCells count="2">
    <mergeCell ref="A5:C5"/>
    <mergeCell ref="A7:D8"/>
  </mergeCells>
  <conditionalFormatting sqref="B2:B4">
    <cfRule type="cellIs" dxfId="2" priority="2" operator="equal">
      <formula>"AMAGÁ"</formula>
    </cfRule>
  </conditionalFormatting>
  <conditionalFormatting sqref="C3:D4">
    <cfRule type="cellIs" dxfId="1" priority="1" operator="equal">
      <formula>"AMAGÁ"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42"/>
  <sheetViews>
    <sheetView zoomScale="80" zoomScaleNormal="80" workbookViewId="0">
      <selection activeCell="E44" sqref="E44"/>
    </sheetView>
  </sheetViews>
  <sheetFormatPr defaultColWidth="11.42578125" defaultRowHeight="15.75"/>
  <cols>
    <col min="1" max="1" width="45.7109375" style="253" customWidth="1"/>
    <col min="2" max="2" width="16.42578125" style="253" customWidth="1"/>
    <col min="3" max="3" width="81.42578125" style="253" customWidth="1"/>
    <col min="4" max="4" width="26.140625" style="253" customWidth="1"/>
    <col min="5" max="5" width="20" style="253" customWidth="1"/>
    <col min="6" max="6" width="14.7109375" style="253" customWidth="1"/>
    <col min="7" max="7" width="15.28515625" style="253" customWidth="1"/>
    <col min="8" max="8" width="13.140625" style="253" customWidth="1"/>
    <col min="9" max="9" width="11.42578125" style="253"/>
    <col min="10" max="10" width="26.42578125" style="381" customWidth="1"/>
    <col min="11" max="11" width="22.42578125" style="253" customWidth="1"/>
    <col min="12" max="12" width="21.7109375" style="253" customWidth="1"/>
    <col min="13" max="14" width="12.28515625" style="253" bestFit="1" customWidth="1"/>
    <col min="15" max="15" width="12.140625" style="253" bestFit="1" customWidth="1"/>
    <col min="16" max="19" width="12.85546875" style="253" bestFit="1" customWidth="1"/>
    <col min="20" max="16384" width="11.42578125" style="253"/>
  </cols>
  <sheetData>
    <row r="1" spans="1:15">
      <c r="A1" s="503" t="s">
        <v>22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</row>
    <row r="2" spans="1:15">
      <c r="A2" s="503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</row>
    <row r="3" spans="1:15">
      <c r="A3" s="503"/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</row>
    <row r="4" spans="1:15">
      <c r="A4" s="503"/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4"/>
      <c r="M4" s="504"/>
      <c r="N4" s="504"/>
      <c r="O4" s="504"/>
    </row>
    <row r="5" spans="1:15" ht="16.5" thickBot="1">
      <c r="A5" s="503"/>
      <c r="B5" s="504"/>
      <c r="C5" s="504"/>
      <c r="D5" s="504"/>
      <c r="E5" s="504"/>
      <c r="F5" s="504"/>
      <c r="G5" s="504"/>
      <c r="H5" s="504"/>
      <c r="I5" s="504"/>
      <c r="J5" s="504"/>
      <c r="K5" s="504"/>
      <c r="L5" s="504"/>
      <c r="M5" s="504"/>
      <c r="N5" s="504"/>
      <c r="O5" s="504"/>
    </row>
    <row r="6" spans="1:15" ht="70.5" customHeight="1" thickBot="1">
      <c r="A6" s="350" t="s">
        <v>33</v>
      </c>
      <c r="B6" s="351" t="s">
        <v>34</v>
      </c>
      <c r="C6" s="351" t="s">
        <v>35</v>
      </c>
      <c r="D6" s="351" t="s">
        <v>145</v>
      </c>
      <c r="E6" s="351" t="s">
        <v>37</v>
      </c>
      <c r="F6" s="351" t="s">
        <v>38</v>
      </c>
      <c r="G6" s="351" t="s">
        <v>39</v>
      </c>
      <c r="H6" s="351" t="s">
        <v>40</v>
      </c>
      <c r="I6" s="351" t="s">
        <v>41</v>
      </c>
      <c r="J6" s="382" t="s">
        <v>146</v>
      </c>
      <c r="K6" s="382" t="s">
        <v>147</v>
      </c>
      <c r="L6" s="382" t="s">
        <v>148</v>
      </c>
      <c r="M6" s="298" t="s">
        <v>149</v>
      </c>
      <c r="N6" s="298" t="s">
        <v>150</v>
      </c>
      <c r="O6" s="298" t="s">
        <v>151</v>
      </c>
    </row>
    <row r="7" spans="1:15" ht="30.75" customHeight="1">
      <c r="A7" s="500" t="s">
        <v>49</v>
      </c>
      <c r="B7" s="352">
        <v>2</v>
      </c>
      <c r="C7" s="353" t="s">
        <v>152</v>
      </c>
      <c r="D7" s="354" t="s">
        <v>51</v>
      </c>
      <c r="E7" s="354" t="s">
        <v>52</v>
      </c>
      <c r="F7" s="354">
        <f>IF(E7="24 HORAS",24,IF(E7="12 HORAS",12,0))</f>
        <v>12</v>
      </c>
      <c r="G7" s="354" t="s">
        <v>29</v>
      </c>
      <c r="H7" s="355">
        <f>IF(G7="N/A",1,IF(G7="NOCTURNO",9,IF(G7="DIURNO",15,0)))</f>
        <v>15</v>
      </c>
      <c r="I7" s="356">
        <v>22</v>
      </c>
      <c r="J7" s="383">
        <v>1800</v>
      </c>
      <c r="K7" s="385">
        <v>11027874</v>
      </c>
      <c r="L7" s="384">
        <v>2196.4615384615386</v>
      </c>
      <c r="M7" s="384">
        <f>ROUND(+AVERAGE(J7,L7),0)</f>
        <v>1998</v>
      </c>
      <c r="N7" s="384">
        <f>ROUND(+MEDIAN(J7,L7),0)</f>
        <v>1998</v>
      </c>
      <c r="O7" s="384">
        <f>ROUND(+GEOMEAN(J7,L7),)</f>
        <v>1988</v>
      </c>
    </row>
    <row r="8" spans="1:15" ht="30.75" customHeight="1">
      <c r="A8" s="501"/>
      <c r="B8" s="358">
        <v>1</v>
      </c>
      <c r="C8" s="359" t="s">
        <v>55</v>
      </c>
      <c r="D8" s="360" t="s">
        <v>51</v>
      </c>
      <c r="E8" s="360" t="s">
        <v>52</v>
      </c>
      <c r="F8" s="360">
        <f t="shared" ref="F8:F35" si="0">IF(E8="24 HORAS",24,IF(E8="12 HORAS",12,0))</f>
        <v>12</v>
      </c>
      <c r="G8" s="360" t="s">
        <v>29</v>
      </c>
      <c r="H8" s="361">
        <f t="shared" ref="H8:H35" si="1">IF(G8="N/A",1,IF(G8="NOCTURNO",9,IF(G8="DIURNO",15,0)))</f>
        <v>15</v>
      </c>
      <c r="I8" s="362">
        <v>22</v>
      </c>
      <c r="J8" s="383">
        <v>900</v>
      </c>
      <c r="K8" s="385">
        <v>5513937</v>
      </c>
      <c r="L8" s="384">
        <v>2196.4615384615386</v>
      </c>
      <c r="M8" s="384">
        <f t="shared" ref="M8:M35" si="2">ROUND(+AVERAGE(J8,L8),0)</f>
        <v>1548</v>
      </c>
      <c r="N8" s="384">
        <f t="shared" ref="N8:N35" si="3">ROUND(+MEDIAN(J8,L8),0)</f>
        <v>1548</v>
      </c>
      <c r="O8" s="384">
        <f t="shared" ref="O8:O35" si="4">ROUND(+GEOMEAN(J8,L8),)</f>
        <v>1406</v>
      </c>
    </row>
    <row r="9" spans="1:15" ht="30.75" customHeight="1">
      <c r="A9" s="501"/>
      <c r="B9" s="358">
        <v>1</v>
      </c>
      <c r="C9" s="359" t="s">
        <v>56</v>
      </c>
      <c r="D9" s="360" t="s">
        <v>51</v>
      </c>
      <c r="E9" s="360" t="s">
        <v>52</v>
      </c>
      <c r="F9" s="360">
        <f t="shared" si="0"/>
        <v>12</v>
      </c>
      <c r="G9" s="360" t="s">
        <v>29</v>
      </c>
      <c r="H9" s="361">
        <f t="shared" si="1"/>
        <v>15</v>
      </c>
      <c r="I9" s="362">
        <v>22</v>
      </c>
      <c r="J9" s="383">
        <v>900</v>
      </c>
      <c r="K9" s="385">
        <v>5513937</v>
      </c>
      <c r="L9" s="384">
        <v>2196.4615384615386</v>
      </c>
      <c r="M9" s="384">
        <f t="shared" si="2"/>
        <v>1548</v>
      </c>
      <c r="N9" s="384">
        <f t="shared" si="3"/>
        <v>1548</v>
      </c>
      <c r="O9" s="384">
        <f t="shared" si="4"/>
        <v>1406</v>
      </c>
    </row>
    <row r="10" spans="1:15" ht="30.75" customHeight="1">
      <c r="A10" s="501"/>
      <c r="B10" s="358">
        <v>1</v>
      </c>
      <c r="C10" s="359" t="s">
        <v>57</v>
      </c>
      <c r="D10" s="360" t="s">
        <v>51</v>
      </c>
      <c r="E10" s="360" t="s">
        <v>52</v>
      </c>
      <c r="F10" s="360">
        <f t="shared" si="0"/>
        <v>12</v>
      </c>
      <c r="G10" s="360" t="s">
        <v>29</v>
      </c>
      <c r="H10" s="361">
        <f t="shared" si="1"/>
        <v>15</v>
      </c>
      <c r="I10" s="362">
        <v>22</v>
      </c>
      <c r="J10" s="383">
        <v>900</v>
      </c>
      <c r="K10" s="385">
        <v>5513937</v>
      </c>
      <c r="L10" s="384">
        <v>2196.4615384615386</v>
      </c>
      <c r="M10" s="384">
        <f t="shared" si="2"/>
        <v>1548</v>
      </c>
      <c r="N10" s="384">
        <f t="shared" si="3"/>
        <v>1548</v>
      </c>
      <c r="O10" s="384">
        <f t="shared" si="4"/>
        <v>1406</v>
      </c>
    </row>
    <row r="11" spans="1:15" ht="30.75" customHeight="1">
      <c r="A11" s="501"/>
      <c r="B11" s="358">
        <v>1</v>
      </c>
      <c r="C11" s="359" t="s">
        <v>153</v>
      </c>
      <c r="D11" s="361" t="s">
        <v>51</v>
      </c>
      <c r="E11" s="361" t="s">
        <v>52</v>
      </c>
      <c r="F11" s="361">
        <f t="shared" si="0"/>
        <v>12</v>
      </c>
      <c r="G11" s="361" t="s">
        <v>29</v>
      </c>
      <c r="H11" s="361">
        <f t="shared" si="1"/>
        <v>15</v>
      </c>
      <c r="I11" s="363">
        <v>30</v>
      </c>
      <c r="J11" s="383">
        <v>1800</v>
      </c>
      <c r="K11" s="385">
        <v>8270906</v>
      </c>
      <c r="L11" s="384">
        <v>3294.6923076923076</v>
      </c>
      <c r="M11" s="384">
        <f t="shared" si="2"/>
        <v>2547</v>
      </c>
      <c r="N11" s="384">
        <f t="shared" si="3"/>
        <v>2547</v>
      </c>
      <c r="O11" s="384">
        <f t="shared" si="4"/>
        <v>2435</v>
      </c>
    </row>
    <row r="12" spans="1:15" ht="30.75" customHeight="1">
      <c r="A12" s="501"/>
      <c r="B12" s="358">
        <v>1</v>
      </c>
      <c r="C12" s="359" t="s">
        <v>154</v>
      </c>
      <c r="D12" s="361" t="s">
        <v>51</v>
      </c>
      <c r="E12" s="361" t="s">
        <v>52</v>
      </c>
      <c r="F12" s="361">
        <v>3</v>
      </c>
      <c r="G12" s="361" t="s">
        <v>29</v>
      </c>
      <c r="H12" s="361">
        <f t="shared" si="1"/>
        <v>15</v>
      </c>
      <c r="I12" s="363">
        <v>30</v>
      </c>
      <c r="J12" s="383">
        <v>1800</v>
      </c>
      <c r="K12" s="385">
        <v>8270906</v>
      </c>
      <c r="L12" s="384">
        <v>274.55769230769232</v>
      </c>
      <c r="M12" s="384">
        <f t="shared" si="2"/>
        <v>1037</v>
      </c>
      <c r="N12" s="384">
        <f t="shared" si="3"/>
        <v>1037</v>
      </c>
      <c r="O12" s="384">
        <f t="shared" si="4"/>
        <v>703</v>
      </c>
    </row>
    <row r="13" spans="1:15" ht="30.75" customHeight="1">
      <c r="A13" s="501"/>
      <c r="B13" s="358">
        <v>1</v>
      </c>
      <c r="C13" s="359" t="s">
        <v>155</v>
      </c>
      <c r="D13" s="361" t="s">
        <v>51</v>
      </c>
      <c r="E13" s="361" t="s">
        <v>52</v>
      </c>
      <c r="F13" s="361">
        <v>9</v>
      </c>
      <c r="G13" s="361" t="s">
        <v>31</v>
      </c>
      <c r="H13" s="361">
        <f t="shared" si="1"/>
        <v>9</v>
      </c>
      <c r="I13" s="363">
        <v>30</v>
      </c>
      <c r="J13" s="383">
        <v>1800</v>
      </c>
      <c r="K13" s="385">
        <v>10556891</v>
      </c>
      <c r="L13" s="384">
        <v>3930.75</v>
      </c>
      <c r="M13" s="384">
        <f t="shared" si="2"/>
        <v>2865</v>
      </c>
      <c r="N13" s="384">
        <f t="shared" si="3"/>
        <v>2865</v>
      </c>
      <c r="O13" s="384">
        <f t="shared" si="4"/>
        <v>2660</v>
      </c>
    </row>
    <row r="14" spans="1:15" ht="30.75" customHeight="1">
      <c r="A14" s="501"/>
      <c r="B14" s="358">
        <v>1</v>
      </c>
      <c r="C14" s="364" t="s">
        <v>62</v>
      </c>
      <c r="D14" s="361" t="s">
        <v>51</v>
      </c>
      <c r="E14" s="361" t="s">
        <v>52</v>
      </c>
      <c r="F14" s="361">
        <v>12</v>
      </c>
      <c r="G14" s="361" t="s">
        <v>29</v>
      </c>
      <c r="H14" s="361">
        <v>15</v>
      </c>
      <c r="I14" s="363">
        <v>26</v>
      </c>
      <c r="J14" s="383">
        <v>1800</v>
      </c>
      <c r="K14" s="385">
        <v>7168119</v>
      </c>
      <c r="L14" s="384">
        <v>2855.4</v>
      </c>
      <c r="M14" s="384">
        <f t="shared" si="2"/>
        <v>2328</v>
      </c>
      <c r="N14" s="384">
        <f t="shared" si="3"/>
        <v>2328</v>
      </c>
      <c r="O14" s="384">
        <f t="shared" si="4"/>
        <v>2267</v>
      </c>
    </row>
    <row r="15" spans="1:15" ht="30.75" customHeight="1">
      <c r="A15" s="365" t="s">
        <v>63</v>
      </c>
      <c r="B15" s="358">
        <v>1</v>
      </c>
      <c r="C15" s="366" t="s">
        <v>64</v>
      </c>
      <c r="D15" s="360" t="s">
        <v>65</v>
      </c>
      <c r="E15" s="360" t="s">
        <v>66</v>
      </c>
      <c r="F15" s="360">
        <f t="shared" si="0"/>
        <v>24</v>
      </c>
      <c r="G15" s="360" t="s">
        <v>67</v>
      </c>
      <c r="H15" s="361">
        <f>IF(G15="N/A",1,IF(G15="NOCTURNO",9,IF(G15="DIURNO",15,0)))</f>
        <v>1</v>
      </c>
      <c r="I15" s="362">
        <v>30</v>
      </c>
      <c r="J15" s="383">
        <v>2700</v>
      </c>
      <c r="K15" s="385">
        <v>19176460</v>
      </c>
      <c r="L15" s="384">
        <v>7500</v>
      </c>
      <c r="M15" s="384">
        <f t="shared" si="2"/>
        <v>5100</v>
      </c>
      <c r="N15" s="384">
        <f t="shared" si="3"/>
        <v>5100</v>
      </c>
      <c r="O15" s="384">
        <f t="shared" si="4"/>
        <v>4500</v>
      </c>
    </row>
    <row r="16" spans="1:15" ht="30.75" customHeight="1">
      <c r="A16" s="365" t="s">
        <v>68</v>
      </c>
      <c r="B16" s="358">
        <v>1</v>
      </c>
      <c r="C16" s="367" t="s">
        <v>69</v>
      </c>
      <c r="D16" s="361" t="s">
        <v>65</v>
      </c>
      <c r="E16" s="361" t="s">
        <v>66</v>
      </c>
      <c r="F16" s="361">
        <f t="shared" si="0"/>
        <v>24</v>
      </c>
      <c r="G16" s="360" t="s">
        <v>67</v>
      </c>
      <c r="H16" s="361">
        <f t="shared" si="1"/>
        <v>1</v>
      </c>
      <c r="I16" s="362">
        <v>30</v>
      </c>
      <c r="J16" s="383">
        <v>2700</v>
      </c>
      <c r="K16" s="385">
        <v>19176460</v>
      </c>
      <c r="L16" s="384">
        <v>7500</v>
      </c>
      <c r="M16" s="384">
        <f t="shared" si="2"/>
        <v>5100</v>
      </c>
      <c r="N16" s="384">
        <f t="shared" si="3"/>
        <v>5100</v>
      </c>
      <c r="O16" s="384">
        <f t="shared" si="4"/>
        <v>4500</v>
      </c>
    </row>
    <row r="17" spans="1:15" ht="30.75" customHeight="1">
      <c r="A17" s="368" t="s">
        <v>70</v>
      </c>
      <c r="B17" s="358">
        <v>1</v>
      </c>
      <c r="C17" s="328" t="s">
        <v>71</v>
      </c>
      <c r="D17" s="369" t="s">
        <v>51</v>
      </c>
      <c r="E17" s="369" t="s">
        <v>52</v>
      </c>
      <c r="F17" s="369">
        <f>IF(E17="24 HORAS",24,IF(E17="12 HORAS",12,0))</f>
        <v>12</v>
      </c>
      <c r="G17" s="369" t="s">
        <v>29</v>
      </c>
      <c r="H17" s="370">
        <f>IF(G17="N/A",1,IF(G17="NOCTURNO",9,IF(G17="DIURNO",15,0)))</f>
        <v>15</v>
      </c>
      <c r="I17" s="362">
        <v>22</v>
      </c>
      <c r="J17" s="383">
        <v>900</v>
      </c>
      <c r="K17" s="385">
        <v>11027874</v>
      </c>
      <c r="L17" s="384">
        <v>2196.4615384615386</v>
      </c>
      <c r="M17" s="384">
        <f t="shared" si="2"/>
        <v>1548</v>
      </c>
      <c r="N17" s="384">
        <f t="shared" si="3"/>
        <v>1548</v>
      </c>
      <c r="O17" s="384">
        <f t="shared" si="4"/>
        <v>1406</v>
      </c>
    </row>
    <row r="18" spans="1:15" ht="30.75" customHeight="1">
      <c r="A18" s="368" t="s">
        <v>72</v>
      </c>
      <c r="B18" s="358">
        <v>1</v>
      </c>
      <c r="C18" s="366" t="s">
        <v>73</v>
      </c>
      <c r="D18" s="360" t="s">
        <v>65</v>
      </c>
      <c r="E18" s="360" t="s">
        <v>66</v>
      </c>
      <c r="F18" s="360">
        <f t="shared" si="0"/>
        <v>24</v>
      </c>
      <c r="G18" s="360" t="s">
        <v>67</v>
      </c>
      <c r="H18" s="361">
        <f t="shared" si="1"/>
        <v>1</v>
      </c>
      <c r="I18" s="362">
        <v>30</v>
      </c>
      <c r="J18" s="383">
        <v>2700</v>
      </c>
      <c r="K18" s="385">
        <v>19176460</v>
      </c>
      <c r="L18" s="384">
        <v>7500</v>
      </c>
      <c r="M18" s="384">
        <f t="shared" si="2"/>
        <v>5100</v>
      </c>
      <c r="N18" s="384">
        <f t="shared" si="3"/>
        <v>5100</v>
      </c>
      <c r="O18" s="384">
        <f t="shared" si="4"/>
        <v>4500</v>
      </c>
    </row>
    <row r="19" spans="1:15" ht="30.75" customHeight="1">
      <c r="A19" s="365" t="s">
        <v>74</v>
      </c>
      <c r="B19" s="358">
        <v>1</v>
      </c>
      <c r="C19" s="367" t="s">
        <v>75</v>
      </c>
      <c r="D19" s="361" t="s">
        <v>65</v>
      </c>
      <c r="E19" s="361" t="s">
        <v>66</v>
      </c>
      <c r="F19" s="361">
        <f t="shared" si="0"/>
        <v>24</v>
      </c>
      <c r="G19" s="361" t="s">
        <v>67</v>
      </c>
      <c r="H19" s="361">
        <f t="shared" si="1"/>
        <v>1</v>
      </c>
      <c r="I19" s="362">
        <v>30</v>
      </c>
      <c r="J19" s="383">
        <v>2700</v>
      </c>
      <c r="K19" s="385">
        <v>19176460</v>
      </c>
      <c r="L19" s="384">
        <v>7500</v>
      </c>
      <c r="M19" s="384">
        <f t="shared" si="2"/>
        <v>5100</v>
      </c>
      <c r="N19" s="384">
        <f t="shared" si="3"/>
        <v>5100</v>
      </c>
      <c r="O19" s="384">
        <f t="shared" si="4"/>
        <v>4500</v>
      </c>
    </row>
    <row r="20" spans="1:15" ht="30.75" customHeight="1">
      <c r="A20" s="368" t="s">
        <v>76</v>
      </c>
      <c r="B20" s="358">
        <v>1</v>
      </c>
      <c r="C20" s="366" t="s">
        <v>77</v>
      </c>
      <c r="D20" s="360" t="s">
        <v>65</v>
      </c>
      <c r="E20" s="360" t="s">
        <v>66</v>
      </c>
      <c r="F20" s="360">
        <f t="shared" si="0"/>
        <v>24</v>
      </c>
      <c r="G20" s="360" t="s">
        <v>67</v>
      </c>
      <c r="H20" s="361">
        <f t="shared" si="1"/>
        <v>1</v>
      </c>
      <c r="I20" s="362">
        <v>30</v>
      </c>
      <c r="J20" s="383">
        <v>2700</v>
      </c>
      <c r="K20" s="385">
        <v>19176460</v>
      </c>
      <c r="L20" s="384">
        <v>7500</v>
      </c>
      <c r="M20" s="384">
        <f t="shared" si="2"/>
        <v>5100</v>
      </c>
      <c r="N20" s="384">
        <f t="shared" si="3"/>
        <v>5100</v>
      </c>
      <c r="O20" s="384">
        <f t="shared" si="4"/>
        <v>4500</v>
      </c>
    </row>
    <row r="21" spans="1:15" ht="30.75" customHeight="1">
      <c r="A21" s="368" t="s">
        <v>78</v>
      </c>
      <c r="B21" s="358">
        <v>1</v>
      </c>
      <c r="C21" s="367" t="s">
        <v>77</v>
      </c>
      <c r="D21" s="361" t="s">
        <v>65</v>
      </c>
      <c r="E21" s="361" t="s">
        <v>66</v>
      </c>
      <c r="F21" s="361">
        <f t="shared" si="0"/>
        <v>24</v>
      </c>
      <c r="G21" s="361" t="s">
        <v>67</v>
      </c>
      <c r="H21" s="361">
        <f t="shared" si="1"/>
        <v>1</v>
      </c>
      <c r="I21" s="362">
        <v>30</v>
      </c>
      <c r="J21" s="383">
        <v>2700</v>
      </c>
      <c r="K21" s="385">
        <v>19176460</v>
      </c>
      <c r="L21" s="384">
        <v>7500</v>
      </c>
      <c r="M21" s="384">
        <f t="shared" si="2"/>
        <v>5100</v>
      </c>
      <c r="N21" s="384">
        <f t="shared" si="3"/>
        <v>5100</v>
      </c>
      <c r="O21" s="384">
        <f t="shared" si="4"/>
        <v>4500</v>
      </c>
    </row>
    <row r="22" spans="1:15" ht="30.75" customHeight="1">
      <c r="A22" s="368" t="s">
        <v>79</v>
      </c>
      <c r="B22" s="358">
        <v>1</v>
      </c>
      <c r="C22" s="366" t="s">
        <v>80</v>
      </c>
      <c r="D22" s="360" t="s">
        <v>65</v>
      </c>
      <c r="E22" s="360" t="s">
        <v>66</v>
      </c>
      <c r="F22" s="360">
        <f t="shared" si="0"/>
        <v>24</v>
      </c>
      <c r="G22" s="360" t="s">
        <v>67</v>
      </c>
      <c r="H22" s="360">
        <f t="shared" si="1"/>
        <v>1</v>
      </c>
      <c r="I22" s="362">
        <v>30</v>
      </c>
      <c r="J22" s="383">
        <v>2700</v>
      </c>
      <c r="K22" s="385">
        <v>19176460</v>
      </c>
      <c r="L22" s="384">
        <v>7500</v>
      </c>
      <c r="M22" s="384">
        <f t="shared" si="2"/>
        <v>5100</v>
      </c>
      <c r="N22" s="384">
        <f t="shared" si="3"/>
        <v>5100</v>
      </c>
      <c r="O22" s="384">
        <f t="shared" si="4"/>
        <v>4500</v>
      </c>
    </row>
    <row r="23" spans="1:15" ht="30.75" customHeight="1">
      <c r="A23" s="368" t="s">
        <v>81</v>
      </c>
      <c r="B23" s="358">
        <v>1</v>
      </c>
      <c r="C23" s="367" t="s">
        <v>77</v>
      </c>
      <c r="D23" s="361" t="s">
        <v>65</v>
      </c>
      <c r="E23" s="361" t="s">
        <v>66</v>
      </c>
      <c r="F23" s="361">
        <f t="shared" si="0"/>
        <v>24</v>
      </c>
      <c r="G23" s="361" t="s">
        <v>67</v>
      </c>
      <c r="H23" s="361">
        <f t="shared" si="1"/>
        <v>1</v>
      </c>
      <c r="I23" s="362">
        <v>30</v>
      </c>
      <c r="J23" s="383">
        <v>2700</v>
      </c>
      <c r="K23" s="385">
        <v>19176460</v>
      </c>
      <c r="L23" s="384">
        <v>7500</v>
      </c>
      <c r="M23" s="384">
        <f t="shared" si="2"/>
        <v>5100</v>
      </c>
      <c r="N23" s="384">
        <f t="shared" si="3"/>
        <v>5100</v>
      </c>
      <c r="O23" s="384">
        <f t="shared" si="4"/>
        <v>4500</v>
      </c>
    </row>
    <row r="24" spans="1:15" ht="30.75" customHeight="1">
      <c r="A24" s="502" t="s">
        <v>82</v>
      </c>
      <c r="B24" s="358">
        <v>1</v>
      </c>
      <c r="C24" s="366" t="s">
        <v>77</v>
      </c>
      <c r="D24" s="360" t="s">
        <v>65</v>
      </c>
      <c r="E24" s="360" t="s">
        <v>66</v>
      </c>
      <c r="F24" s="360">
        <f t="shared" si="0"/>
        <v>24</v>
      </c>
      <c r="G24" s="360" t="s">
        <v>67</v>
      </c>
      <c r="H24" s="360">
        <f t="shared" si="1"/>
        <v>1</v>
      </c>
      <c r="I24" s="362">
        <v>30</v>
      </c>
      <c r="J24" s="383">
        <v>2700</v>
      </c>
      <c r="K24" s="385">
        <v>19176460</v>
      </c>
      <c r="L24" s="384">
        <v>7500</v>
      </c>
      <c r="M24" s="384">
        <f t="shared" si="2"/>
        <v>5100</v>
      </c>
      <c r="N24" s="384">
        <f t="shared" si="3"/>
        <v>5100</v>
      </c>
      <c r="O24" s="384">
        <f t="shared" si="4"/>
        <v>4500</v>
      </c>
    </row>
    <row r="25" spans="1:15" ht="30.75" customHeight="1">
      <c r="A25" s="502"/>
      <c r="B25" s="358">
        <v>1</v>
      </c>
      <c r="C25" s="366" t="s">
        <v>77</v>
      </c>
      <c r="D25" s="360" t="s">
        <v>65</v>
      </c>
      <c r="E25" s="360" t="s">
        <v>66</v>
      </c>
      <c r="F25" s="360">
        <f t="shared" si="0"/>
        <v>24</v>
      </c>
      <c r="G25" s="360" t="s">
        <v>67</v>
      </c>
      <c r="H25" s="360">
        <f t="shared" si="1"/>
        <v>1</v>
      </c>
      <c r="I25" s="362">
        <v>30</v>
      </c>
      <c r="J25" s="383">
        <v>2700</v>
      </c>
      <c r="K25" s="385">
        <v>19176460</v>
      </c>
      <c r="L25" s="384">
        <v>7500</v>
      </c>
      <c r="M25" s="384">
        <f t="shared" si="2"/>
        <v>5100</v>
      </c>
      <c r="N25" s="384">
        <f t="shared" si="3"/>
        <v>5100</v>
      </c>
      <c r="O25" s="384">
        <f t="shared" si="4"/>
        <v>4500</v>
      </c>
    </row>
    <row r="26" spans="1:15" ht="30.75" customHeight="1">
      <c r="A26" s="371" t="s">
        <v>83</v>
      </c>
      <c r="B26" s="358">
        <v>2</v>
      </c>
      <c r="C26" s="366" t="s">
        <v>84</v>
      </c>
      <c r="D26" s="360" t="s">
        <v>65</v>
      </c>
      <c r="E26" s="360" t="s">
        <v>66</v>
      </c>
      <c r="F26" s="360">
        <f t="shared" si="0"/>
        <v>24</v>
      </c>
      <c r="G26" s="360" t="s">
        <v>67</v>
      </c>
      <c r="H26" s="360">
        <f t="shared" si="1"/>
        <v>1</v>
      </c>
      <c r="I26" s="362">
        <v>30</v>
      </c>
      <c r="J26" s="383">
        <v>2700</v>
      </c>
      <c r="K26" s="385">
        <v>19176460</v>
      </c>
      <c r="L26" s="384">
        <v>7500</v>
      </c>
      <c r="M26" s="384">
        <f t="shared" si="2"/>
        <v>5100</v>
      </c>
      <c r="N26" s="384">
        <f t="shared" si="3"/>
        <v>5100</v>
      </c>
      <c r="O26" s="384">
        <f t="shared" si="4"/>
        <v>4500</v>
      </c>
    </row>
    <row r="27" spans="1:15" ht="30.75" customHeight="1">
      <c r="A27" s="368" t="s">
        <v>85</v>
      </c>
      <c r="B27" s="358">
        <v>1</v>
      </c>
      <c r="C27" s="367" t="s">
        <v>73</v>
      </c>
      <c r="D27" s="361" t="s">
        <v>65</v>
      </c>
      <c r="E27" s="361" t="s">
        <v>66</v>
      </c>
      <c r="F27" s="361">
        <f t="shared" si="0"/>
        <v>24</v>
      </c>
      <c r="G27" s="361" t="s">
        <v>67</v>
      </c>
      <c r="H27" s="361">
        <f t="shared" si="1"/>
        <v>1</v>
      </c>
      <c r="I27" s="362">
        <v>30</v>
      </c>
      <c r="J27" s="383">
        <v>2700</v>
      </c>
      <c r="K27" s="385">
        <v>19176460</v>
      </c>
      <c r="L27" s="384">
        <v>7500</v>
      </c>
      <c r="M27" s="384">
        <f t="shared" si="2"/>
        <v>5100</v>
      </c>
      <c r="N27" s="384">
        <f t="shared" si="3"/>
        <v>5100</v>
      </c>
      <c r="O27" s="384">
        <f t="shared" si="4"/>
        <v>4500</v>
      </c>
    </row>
    <row r="28" spans="1:15" ht="30.75" customHeight="1">
      <c r="A28" s="372" t="s">
        <v>86</v>
      </c>
      <c r="B28" s="358">
        <v>2</v>
      </c>
      <c r="C28" s="366" t="s">
        <v>87</v>
      </c>
      <c r="D28" s="360" t="s">
        <v>65</v>
      </c>
      <c r="E28" s="360" t="s">
        <v>66</v>
      </c>
      <c r="F28" s="360">
        <f t="shared" si="0"/>
        <v>24</v>
      </c>
      <c r="G28" s="360" t="s">
        <v>67</v>
      </c>
      <c r="H28" s="360">
        <f t="shared" si="1"/>
        <v>1</v>
      </c>
      <c r="I28" s="362">
        <v>30</v>
      </c>
      <c r="J28" s="383">
        <v>2700</v>
      </c>
      <c r="K28" s="385">
        <v>38352920</v>
      </c>
      <c r="L28" s="384">
        <v>7500</v>
      </c>
      <c r="M28" s="384">
        <f t="shared" si="2"/>
        <v>5100</v>
      </c>
      <c r="N28" s="384">
        <f t="shared" si="3"/>
        <v>5100</v>
      </c>
      <c r="O28" s="384">
        <f t="shared" si="4"/>
        <v>4500</v>
      </c>
    </row>
    <row r="29" spans="1:15" ht="30.75" customHeight="1">
      <c r="A29" s="373" t="s">
        <v>88</v>
      </c>
      <c r="B29" s="358">
        <v>1</v>
      </c>
      <c r="C29" s="367" t="s">
        <v>77</v>
      </c>
      <c r="D29" s="361" t="s">
        <v>65</v>
      </c>
      <c r="E29" s="361" t="s">
        <v>66</v>
      </c>
      <c r="F29" s="361">
        <f t="shared" si="0"/>
        <v>24</v>
      </c>
      <c r="G29" s="361" t="s">
        <v>67</v>
      </c>
      <c r="H29" s="361">
        <f t="shared" si="1"/>
        <v>1</v>
      </c>
      <c r="I29" s="362">
        <v>30</v>
      </c>
      <c r="J29" s="383">
        <v>2700</v>
      </c>
      <c r="K29" s="385">
        <v>19176460</v>
      </c>
      <c r="L29" s="384">
        <v>7500</v>
      </c>
      <c r="M29" s="384">
        <f t="shared" si="2"/>
        <v>5100</v>
      </c>
      <c r="N29" s="384">
        <f t="shared" si="3"/>
        <v>5100</v>
      </c>
      <c r="O29" s="384">
        <f t="shared" si="4"/>
        <v>4500</v>
      </c>
    </row>
    <row r="30" spans="1:15" ht="30.75" customHeight="1">
      <c r="A30" s="374" t="s">
        <v>89</v>
      </c>
      <c r="B30" s="358">
        <v>1</v>
      </c>
      <c r="C30" s="366" t="s">
        <v>73</v>
      </c>
      <c r="D30" s="360" t="s">
        <v>65</v>
      </c>
      <c r="E30" s="360" t="s">
        <v>66</v>
      </c>
      <c r="F30" s="360">
        <f t="shared" si="0"/>
        <v>24</v>
      </c>
      <c r="G30" s="360" t="s">
        <v>67</v>
      </c>
      <c r="H30" s="360">
        <f t="shared" si="1"/>
        <v>1</v>
      </c>
      <c r="I30" s="362">
        <v>30</v>
      </c>
      <c r="J30" s="383">
        <v>2700</v>
      </c>
      <c r="K30" s="385">
        <v>19176460</v>
      </c>
      <c r="L30" s="384">
        <v>7500</v>
      </c>
      <c r="M30" s="384">
        <f t="shared" si="2"/>
        <v>5100</v>
      </c>
      <c r="N30" s="384">
        <f t="shared" si="3"/>
        <v>5100</v>
      </c>
      <c r="O30" s="384">
        <f t="shared" si="4"/>
        <v>4500</v>
      </c>
    </row>
    <row r="31" spans="1:15" ht="30.75" customHeight="1">
      <c r="A31" s="368" t="s">
        <v>90</v>
      </c>
      <c r="B31" s="358">
        <v>1</v>
      </c>
      <c r="C31" s="367" t="s">
        <v>73</v>
      </c>
      <c r="D31" s="361" t="s">
        <v>65</v>
      </c>
      <c r="E31" s="361" t="s">
        <v>66</v>
      </c>
      <c r="F31" s="361">
        <f t="shared" si="0"/>
        <v>24</v>
      </c>
      <c r="G31" s="361" t="s">
        <v>67</v>
      </c>
      <c r="H31" s="361">
        <f t="shared" si="1"/>
        <v>1</v>
      </c>
      <c r="I31" s="362">
        <v>30</v>
      </c>
      <c r="J31" s="383">
        <v>2700</v>
      </c>
      <c r="K31" s="385">
        <v>19176460</v>
      </c>
      <c r="L31" s="384">
        <v>7500</v>
      </c>
      <c r="M31" s="384">
        <f t="shared" si="2"/>
        <v>5100</v>
      </c>
      <c r="N31" s="384">
        <f t="shared" si="3"/>
        <v>5100</v>
      </c>
      <c r="O31" s="384">
        <f t="shared" si="4"/>
        <v>4500</v>
      </c>
    </row>
    <row r="32" spans="1:15" ht="30.75" customHeight="1">
      <c r="A32" s="357" t="s">
        <v>91</v>
      </c>
      <c r="B32" s="358">
        <v>1</v>
      </c>
      <c r="C32" s="366" t="s">
        <v>75</v>
      </c>
      <c r="D32" s="360" t="s">
        <v>65</v>
      </c>
      <c r="E32" s="360" t="s">
        <v>66</v>
      </c>
      <c r="F32" s="360">
        <f t="shared" si="0"/>
        <v>24</v>
      </c>
      <c r="G32" s="360" t="s">
        <v>67</v>
      </c>
      <c r="H32" s="360">
        <f t="shared" si="1"/>
        <v>1</v>
      </c>
      <c r="I32" s="362">
        <v>30</v>
      </c>
      <c r="J32" s="383">
        <v>2700</v>
      </c>
      <c r="K32" s="385">
        <v>19176460</v>
      </c>
      <c r="L32" s="384">
        <v>7500</v>
      </c>
      <c r="M32" s="384">
        <f t="shared" si="2"/>
        <v>5100</v>
      </c>
      <c r="N32" s="384">
        <f t="shared" si="3"/>
        <v>5100</v>
      </c>
      <c r="O32" s="384">
        <f t="shared" si="4"/>
        <v>4500</v>
      </c>
    </row>
    <row r="33" spans="1:15" ht="30.75" customHeight="1">
      <c r="A33" s="375" t="s">
        <v>92</v>
      </c>
      <c r="B33" s="358">
        <v>1</v>
      </c>
      <c r="C33" s="367" t="s">
        <v>75</v>
      </c>
      <c r="D33" s="361" t="s">
        <v>65</v>
      </c>
      <c r="E33" s="361" t="s">
        <v>66</v>
      </c>
      <c r="F33" s="361">
        <f t="shared" si="0"/>
        <v>24</v>
      </c>
      <c r="G33" s="361" t="s">
        <v>67</v>
      </c>
      <c r="H33" s="361">
        <f t="shared" si="1"/>
        <v>1</v>
      </c>
      <c r="I33" s="362">
        <v>30</v>
      </c>
      <c r="J33" s="383">
        <v>2700</v>
      </c>
      <c r="K33" s="385">
        <v>19176460</v>
      </c>
      <c r="L33" s="384">
        <v>7500</v>
      </c>
      <c r="M33" s="384">
        <f t="shared" si="2"/>
        <v>5100</v>
      </c>
      <c r="N33" s="384">
        <f t="shared" si="3"/>
        <v>5100</v>
      </c>
      <c r="O33" s="384">
        <f t="shared" si="4"/>
        <v>4500</v>
      </c>
    </row>
    <row r="34" spans="1:15" ht="30.75" customHeight="1">
      <c r="A34" s="357" t="s">
        <v>93</v>
      </c>
      <c r="B34" s="358">
        <v>1</v>
      </c>
      <c r="C34" s="366" t="s">
        <v>94</v>
      </c>
      <c r="D34" s="360" t="s">
        <v>65</v>
      </c>
      <c r="E34" s="360" t="s">
        <v>66</v>
      </c>
      <c r="F34" s="360">
        <f t="shared" si="0"/>
        <v>24</v>
      </c>
      <c r="G34" s="360" t="s">
        <v>67</v>
      </c>
      <c r="H34" s="360">
        <f t="shared" si="1"/>
        <v>1</v>
      </c>
      <c r="I34" s="362">
        <v>30</v>
      </c>
      <c r="J34" s="383">
        <v>2700</v>
      </c>
      <c r="K34" s="385">
        <v>19176460</v>
      </c>
      <c r="L34" s="384">
        <v>7500</v>
      </c>
      <c r="M34" s="384">
        <f t="shared" si="2"/>
        <v>5100</v>
      </c>
      <c r="N34" s="384">
        <f t="shared" si="3"/>
        <v>5100</v>
      </c>
      <c r="O34" s="384">
        <f t="shared" si="4"/>
        <v>4500</v>
      </c>
    </row>
    <row r="35" spans="1:15" ht="30.75" customHeight="1" thickBot="1">
      <c r="A35" s="376" t="s">
        <v>95</v>
      </c>
      <c r="B35" s="377">
        <v>1</v>
      </c>
      <c r="C35" s="378" t="s">
        <v>80</v>
      </c>
      <c r="D35" s="379" t="s">
        <v>51</v>
      </c>
      <c r="E35" s="379" t="s">
        <v>66</v>
      </c>
      <c r="F35" s="379">
        <f t="shared" si="0"/>
        <v>24</v>
      </c>
      <c r="G35" s="379" t="s">
        <v>67</v>
      </c>
      <c r="H35" s="379">
        <f t="shared" si="1"/>
        <v>1</v>
      </c>
      <c r="I35" s="380">
        <v>30</v>
      </c>
      <c r="J35" s="383">
        <v>2700</v>
      </c>
      <c r="K35" s="385">
        <v>18827797</v>
      </c>
      <c r="L35" s="384">
        <v>7500</v>
      </c>
      <c r="M35" s="384">
        <f t="shared" si="2"/>
        <v>5100</v>
      </c>
      <c r="N35" s="384">
        <f t="shared" si="3"/>
        <v>5100</v>
      </c>
      <c r="O35" s="384">
        <f t="shared" si="4"/>
        <v>4500</v>
      </c>
    </row>
    <row r="37" spans="1:15">
      <c r="A37" s="499" t="s">
        <v>156</v>
      </c>
      <c r="B37" s="499"/>
      <c r="C37" s="499"/>
      <c r="D37" s="499"/>
    </row>
    <row r="38" spans="1:15">
      <c r="A38" s="499"/>
      <c r="B38" s="499"/>
      <c r="C38" s="499"/>
      <c r="D38" s="499"/>
    </row>
    <row r="39" spans="1:15">
      <c r="A39" s="499"/>
      <c r="B39" s="499"/>
      <c r="C39" s="499"/>
      <c r="D39" s="499"/>
    </row>
    <row r="40" spans="1:15">
      <c r="A40" s="499"/>
      <c r="B40" s="499"/>
      <c r="C40" s="499"/>
      <c r="D40" s="499"/>
    </row>
    <row r="41" spans="1:15">
      <c r="A41" s="499"/>
      <c r="B41" s="499"/>
      <c r="C41" s="499"/>
      <c r="D41" s="499"/>
    </row>
    <row r="42" spans="1:15">
      <c r="A42" s="499"/>
      <c r="B42" s="499"/>
      <c r="C42" s="499"/>
      <c r="D42" s="499"/>
    </row>
  </sheetData>
  <mergeCells count="4">
    <mergeCell ref="A37:D42"/>
    <mergeCell ref="A7:A14"/>
    <mergeCell ref="A24:A25"/>
    <mergeCell ref="A1:O5"/>
  </mergeCells>
  <conditionalFormatting sqref="C6:C7 C14:C16 C18:C35">
    <cfRule type="containsText" dxfId="0" priority="1" operator="containsText" text=" lunes a viernes (sin festivos)">
      <formula>NOT(ISERROR(SEARCH(" lunes a viernes (sin festivos)",C6)))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00CC"/>
  </sheetPr>
  <dimension ref="A1:K21"/>
  <sheetViews>
    <sheetView showGridLines="0" topLeftCell="A2" zoomScale="90" zoomScaleNormal="90" workbookViewId="0">
      <selection activeCell="F18" sqref="F18"/>
    </sheetView>
  </sheetViews>
  <sheetFormatPr defaultColWidth="11.42578125" defaultRowHeight="15"/>
  <cols>
    <col min="2" max="2" width="56.140625" customWidth="1"/>
    <col min="3" max="6" width="35.5703125" customWidth="1"/>
    <col min="7" max="8" width="35.7109375" customWidth="1"/>
  </cols>
  <sheetData>
    <row r="1" spans="2:11" ht="28.5" thickBot="1">
      <c r="B1" s="506"/>
      <c r="C1" s="509" t="s">
        <v>22</v>
      </c>
      <c r="D1" s="509"/>
      <c r="E1" s="509"/>
      <c r="F1" s="509"/>
      <c r="G1" s="510"/>
      <c r="H1" s="274"/>
      <c r="I1" s="274"/>
      <c r="J1" s="274"/>
      <c r="K1" s="274"/>
    </row>
    <row r="2" spans="2:11" ht="20.25" thickBot="1">
      <c r="B2" s="507"/>
      <c r="C2" s="509" t="s">
        <v>32</v>
      </c>
      <c r="D2" s="509"/>
      <c r="E2" s="509"/>
      <c r="F2" s="509"/>
      <c r="G2" s="510"/>
      <c r="H2" s="275"/>
      <c r="I2" s="275"/>
      <c r="J2" s="275"/>
      <c r="K2" s="275"/>
    </row>
    <row r="3" spans="2:11" ht="32.1" customHeight="1" thickBot="1">
      <c r="B3" s="508"/>
      <c r="C3" s="511" t="s">
        <v>157</v>
      </c>
      <c r="D3" s="511"/>
      <c r="E3" s="511"/>
      <c r="F3" s="511"/>
      <c r="G3" s="512"/>
      <c r="H3" s="276"/>
      <c r="I3" s="276"/>
      <c r="J3" s="276"/>
      <c r="K3" s="276"/>
    </row>
    <row r="4" spans="2:11" ht="36.950000000000003" customHeight="1" thickBot="1">
      <c r="B4" s="277" t="s">
        <v>158</v>
      </c>
      <c r="C4" s="278" t="s">
        <v>159</v>
      </c>
      <c r="D4" s="278" t="s">
        <v>141</v>
      </c>
      <c r="E4" s="278" t="s">
        <v>160</v>
      </c>
      <c r="F4" s="278" t="s">
        <v>161</v>
      </c>
      <c r="G4" s="278" t="s">
        <v>162</v>
      </c>
    </row>
    <row r="5" spans="2:11">
      <c r="B5" s="279" t="s">
        <v>163</v>
      </c>
      <c r="C5" s="280" t="s">
        <v>164</v>
      </c>
      <c r="D5" s="281">
        <v>1</v>
      </c>
      <c r="E5" s="282">
        <v>550000</v>
      </c>
      <c r="F5" s="283">
        <f>ROUND(+E5*19%,0)</f>
        <v>104500</v>
      </c>
      <c r="G5" s="284">
        <f>+E5+F5</f>
        <v>654500</v>
      </c>
    </row>
    <row r="6" spans="2:11">
      <c r="B6" s="285" t="s">
        <v>165</v>
      </c>
      <c r="C6" s="286" t="s">
        <v>166</v>
      </c>
      <c r="D6" s="287">
        <v>1</v>
      </c>
      <c r="E6" s="288">
        <v>210000</v>
      </c>
      <c r="F6" s="283">
        <f t="shared" ref="F6:F8" si="0">ROUND(+E6*19%,0)</f>
        <v>39900</v>
      </c>
      <c r="G6" s="284">
        <f t="shared" ref="G6:G8" si="1">+E6+F6</f>
        <v>249900</v>
      </c>
    </row>
    <row r="7" spans="2:11">
      <c r="B7" s="285" t="s">
        <v>142</v>
      </c>
      <c r="C7" s="286" t="s">
        <v>167</v>
      </c>
      <c r="D7" s="287">
        <v>1</v>
      </c>
      <c r="E7" s="288">
        <v>7194986</v>
      </c>
      <c r="F7" s="283">
        <f t="shared" si="0"/>
        <v>1367047</v>
      </c>
      <c r="G7" s="284">
        <f t="shared" si="1"/>
        <v>8562033</v>
      </c>
    </row>
    <row r="8" spans="2:11" ht="15.75" thickBot="1">
      <c r="B8" s="285" t="s">
        <v>143</v>
      </c>
      <c r="C8" s="286" t="s">
        <v>167</v>
      </c>
      <c r="D8" s="287">
        <v>1</v>
      </c>
      <c r="E8" s="282">
        <v>6821277</v>
      </c>
      <c r="F8" s="283">
        <f t="shared" si="0"/>
        <v>1296043</v>
      </c>
      <c r="G8" s="284">
        <f t="shared" si="1"/>
        <v>8117320</v>
      </c>
    </row>
    <row r="9" spans="2:11" ht="15.75" thickBot="1">
      <c r="B9" s="289" t="s">
        <v>168</v>
      </c>
      <c r="C9" s="290"/>
      <c r="D9" s="290"/>
      <c r="E9" s="291">
        <f>SUM(E5:E8)</f>
        <v>14776263</v>
      </c>
      <c r="F9" s="291">
        <f t="shared" ref="F9:G9" si="2">SUM(F5:F8)</f>
        <v>2807490</v>
      </c>
      <c r="G9" s="291">
        <f t="shared" si="2"/>
        <v>17583753</v>
      </c>
    </row>
    <row r="10" spans="2:11">
      <c r="B10" s="292"/>
      <c r="C10" s="292"/>
      <c r="D10" s="292"/>
      <c r="E10" s="292"/>
      <c r="F10" s="292"/>
      <c r="G10" s="292"/>
    </row>
    <row r="11" spans="2:11">
      <c r="B11" s="513" t="s">
        <v>169</v>
      </c>
      <c r="C11" s="513"/>
      <c r="D11" s="513"/>
      <c r="E11" s="513"/>
      <c r="F11" s="513"/>
      <c r="G11" s="513"/>
    </row>
    <row r="13" spans="2:11">
      <c r="B13" s="514" t="s">
        <v>170</v>
      </c>
      <c r="C13" s="514"/>
      <c r="D13" s="514"/>
      <c r="E13" s="514"/>
      <c r="F13" s="514"/>
      <c r="G13" s="514"/>
    </row>
    <row r="14" spans="2:11">
      <c r="B14" s="514"/>
      <c r="C14" s="514"/>
      <c r="D14" s="514"/>
      <c r="E14" s="514"/>
      <c r="F14" s="514"/>
      <c r="G14" s="514"/>
    </row>
    <row r="15" spans="2:11">
      <c r="B15" s="514"/>
      <c r="C15" s="514"/>
      <c r="D15" s="514"/>
      <c r="E15" s="514"/>
      <c r="F15" s="514"/>
      <c r="G15" s="514"/>
    </row>
    <row r="16" spans="2:11">
      <c r="B16" s="514"/>
      <c r="C16" s="514"/>
      <c r="D16" s="514"/>
      <c r="E16" s="514"/>
      <c r="F16" s="514"/>
      <c r="G16" s="514"/>
    </row>
    <row r="21" spans="1:11" ht="18">
      <c r="A21" s="505"/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</sheetData>
  <mergeCells count="7">
    <mergeCell ref="A21:K21"/>
    <mergeCell ref="B1:B3"/>
    <mergeCell ref="C1:G1"/>
    <mergeCell ref="C2:G2"/>
    <mergeCell ref="C3:G3"/>
    <mergeCell ref="B11:G11"/>
    <mergeCell ref="B13:G16"/>
  </mergeCells>
  <pageMargins left="0.7" right="0.7" top="0.75" bottom="0.75" header="0.3" footer="0.3"/>
  <headerFooter>
    <oddFooter>&amp;L_x000D_&amp;1#&amp;"Aptos"&amp;10&amp;K000000 Informacion publica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00CC"/>
  </sheetPr>
  <dimension ref="A1:K21"/>
  <sheetViews>
    <sheetView showGridLines="0" topLeftCell="E1" zoomScale="90" zoomScaleNormal="90" workbookViewId="0">
      <selection activeCell="E5" sqref="E5:G9"/>
    </sheetView>
  </sheetViews>
  <sheetFormatPr defaultColWidth="11.42578125" defaultRowHeight="15"/>
  <cols>
    <col min="2" max="2" width="56.140625" customWidth="1"/>
    <col min="3" max="6" width="35.5703125" customWidth="1"/>
    <col min="7" max="8" width="35.7109375" customWidth="1"/>
  </cols>
  <sheetData>
    <row r="1" spans="2:11" ht="28.5" thickBot="1">
      <c r="B1" s="506"/>
      <c r="C1" s="509" t="s">
        <v>22</v>
      </c>
      <c r="D1" s="509"/>
      <c r="E1" s="509"/>
      <c r="F1" s="509"/>
      <c r="G1" s="510"/>
      <c r="H1" s="274"/>
      <c r="I1" s="274"/>
      <c r="J1" s="274"/>
      <c r="K1" s="274"/>
    </row>
    <row r="2" spans="2:11" ht="20.25" thickBot="1">
      <c r="B2" s="507"/>
      <c r="C2" s="509" t="s">
        <v>32</v>
      </c>
      <c r="D2" s="509"/>
      <c r="E2" s="509"/>
      <c r="F2" s="509"/>
      <c r="G2" s="510"/>
      <c r="H2" s="275"/>
      <c r="I2" s="275"/>
      <c r="J2" s="275"/>
      <c r="K2" s="275"/>
    </row>
    <row r="3" spans="2:11" ht="32.1" customHeight="1" thickBot="1">
      <c r="B3" s="508"/>
      <c r="C3" s="511" t="s">
        <v>157</v>
      </c>
      <c r="D3" s="511"/>
      <c r="E3" s="511"/>
      <c r="F3" s="511"/>
      <c r="G3" s="512"/>
      <c r="H3" s="276"/>
      <c r="I3" s="276"/>
      <c r="J3" s="276"/>
      <c r="K3" s="276"/>
    </row>
    <row r="4" spans="2:11" ht="36.950000000000003" customHeight="1" thickBot="1">
      <c r="B4" s="277" t="s">
        <v>158</v>
      </c>
      <c r="C4" s="278" t="s">
        <v>159</v>
      </c>
      <c r="D4" s="278" t="s">
        <v>141</v>
      </c>
      <c r="E4" s="278" t="s">
        <v>160</v>
      </c>
      <c r="F4" s="278" t="s">
        <v>161</v>
      </c>
      <c r="G4" s="278" t="s">
        <v>162</v>
      </c>
    </row>
    <row r="5" spans="2:11">
      <c r="B5" s="279" t="s">
        <v>163</v>
      </c>
      <c r="C5" s="280" t="s">
        <v>164</v>
      </c>
      <c r="D5" s="281">
        <v>1</v>
      </c>
      <c r="E5" s="293">
        <v>700000</v>
      </c>
      <c r="F5" s="293">
        <f>ROUND(+E5*19%,0)</f>
        <v>133000</v>
      </c>
      <c r="G5" s="294">
        <f>+E5+F5</f>
        <v>833000</v>
      </c>
    </row>
    <row r="6" spans="2:11">
      <c r="B6" s="285" t="s">
        <v>165</v>
      </c>
      <c r="C6" s="286" t="s">
        <v>166</v>
      </c>
      <c r="D6" s="287">
        <v>1</v>
      </c>
      <c r="E6" s="293">
        <v>150000</v>
      </c>
      <c r="F6" s="293">
        <f t="shared" ref="F6:F8" si="0">ROUND(+E6*19%,0)</f>
        <v>28500</v>
      </c>
      <c r="G6" s="294">
        <f t="shared" ref="G6:G8" si="1">+E6+F6</f>
        <v>178500</v>
      </c>
    </row>
    <row r="7" spans="2:11">
      <c r="B7" s="285" t="s">
        <v>142</v>
      </c>
      <c r="C7" s="286" t="s">
        <v>167</v>
      </c>
      <c r="D7" s="287">
        <v>1</v>
      </c>
      <c r="E7" s="293">
        <v>2100000</v>
      </c>
      <c r="F7" s="293">
        <f t="shared" si="0"/>
        <v>399000</v>
      </c>
      <c r="G7" s="294">
        <f t="shared" si="1"/>
        <v>2499000</v>
      </c>
    </row>
    <row r="8" spans="2:11" ht="15.75" thickBot="1">
      <c r="B8" s="285" t="s">
        <v>143</v>
      </c>
      <c r="C8" s="286" t="s">
        <v>167</v>
      </c>
      <c r="D8" s="287">
        <v>1</v>
      </c>
      <c r="E8" s="293">
        <v>2100000</v>
      </c>
      <c r="F8" s="293">
        <f t="shared" si="0"/>
        <v>399000</v>
      </c>
      <c r="G8" s="294">
        <f t="shared" si="1"/>
        <v>2499000</v>
      </c>
    </row>
    <row r="9" spans="2:11" ht="15.75" thickBot="1">
      <c r="B9" s="289" t="s">
        <v>168</v>
      </c>
      <c r="C9" s="290"/>
      <c r="D9" s="290"/>
      <c r="E9" s="290">
        <f>SUM(E5:E8)</f>
        <v>5050000</v>
      </c>
      <c r="F9" s="290">
        <f t="shared" ref="F9:G9" si="2">SUM(F5:F8)</f>
        <v>959500</v>
      </c>
      <c r="G9" s="290">
        <f t="shared" si="2"/>
        <v>6009500</v>
      </c>
    </row>
    <row r="10" spans="2:11">
      <c r="B10" s="292"/>
      <c r="C10" s="292"/>
      <c r="D10" s="292"/>
      <c r="E10" s="292"/>
      <c r="F10" s="292"/>
      <c r="G10" s="292"/>
    </row>
    <row r="11" spans="2:11">
      <c r="B11" s="513" t="s">
        <v>169</v>
      </c>
      <c r="C11" s="513"/>
      <c r="D11" s="513"/>
      <c r="E11" s="513"/>
      <c r="F11" s="513"/>
      <c r="G11" s="513"/>
    </row>
    <row r="13" spans="2:11">
      <c r="B13" s="514" t="s">
        <v>170</v>
      </c>
      <c r="C13" s="514"/>
      <c r="D13" s="514"/>
      <c r="E13" s="514"/>
      <c r="F13" s="514"/>
      <c r="G13" s="514"/>
    </row>
    <row r="14" spans="2:11">
      <c r="B14" s="514"/>
      <c r="C14" s="514"/>
      <c r="D14" s="514"/>
      <c r="E14" s="514"/>
      <c r="F14" s="514"/>
      <c r="G14" s="514"/>
    </row>
    <row r="15" spans="2:11">
      <c r="B15" s="514"/>
      <c r="C15" s="514"/>
      <c r="D15" s="514"/>
      <c r="E15" s="514"/>
      <c r="F15" s="514"/>
      <c r="G15" s="514"/>
    </row>
    <row r="16" spans="2:11">
      <c r="B16" s="514"/>
      <c r="C16" s="514"/>
      <c r="D16" s="514"/>
      <c r="E16" s="514"/>
      <c r="F16" s="514"/>
      <c r="G16" s="514"/>
    </row>
    <row r="21" spans="1:11" ht="18">
      <c r="A21" s="505"/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</sheetData>
  <mergeCells count="7">
    <mergeCell ref="A21:K21"/>
    <mergeCell ref="B1:B3"/>
    <mergeCell ref="C1:G1"/>
    <mergeCell ref="C2:G2"/>
    <mergeCell ref="C3:G3"/>
    <mergeCell ref="B11:G11"/>
    <mergeCell ref="B13:G16"/>
  </mergeCells>
  <pageMargins left="0.7" right="0.7" top="0.75" bottom="0.75" header="0.3" footer="0.3"/>
  <headerFooter>
    <oddFooter>&amp;L_x000D_&amp;1#&amp;"Aptos"&amp;10&amp;K000000 Informacion publica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00CC"/>
  </sheetPr>
  <dimension ref="A1:K21"/>
  <sheetViews>
    <sheetView showGridLines="0" zoomScale="90" zoomScaleNormal="90" workbookViewId="0">
      <selection activeCell="B7" sqref="B7:B8"/>
    </sheetView>
  </sheetViews>
  <sheetFormatPr defaultColWidth="11.42578125" defaultRowHeight="15"/>
  <cols>
    <col min="2" max="2" width="56.140625" customWidth="1"/>
    <col min="3" max="6" width="35.5703125" customWidth="1"/>
    <col min="7" max="8" width="35.7109375" customWidth="1"/>
  </cols>
  <sheetData>
    <row r="1" spans="2:11" ht="28.5" thickBot="1">
      <c r="B1" s="506"/>
      <c r="C1" s="509" t="s">
        <v>22</v>
      </c>
      <c r="D1" s="509"/>
      <c r="E1" s="509"/>
      <c r="F1" s="509"/>
      <c r="G1" s="510"/>
      <c r="H1" s="274"/>
      <c r="I1" s="274"/>
      <c r="J1" s="274"/>
      <c r="K1" s="274"/>
    </row>
    <row r="2" spans="2:11" ht="20.25" thickBot="1">
      <c r="B2" s="507"/>
      <c r="C2" s="509" t="s">
        <v>32</v>
      </c>
      <c r="D2" s="509"/>
      <c r="E2" s="509"/>
      <c r="F2" s="509"/>
      <c r="G2" s="510"/>
      <c r="H2" s="275"/>
      <c r="I2" s="275"/>
      <c r="J2" s="275"/>
      <c r="K2" s="275"/>
    </row>
    <row r="3" spans="2:11" ht="32.1" customHeight="1" thickBot="1">
      <c r="B3" s="508"/>
      <c r="C3" s="511" t="s">
        <v>157</v>
      </c>
      <c r="D3" s="511"/>
      <c r="E3" s="511"/>
      <c r="F3" s="511"/>
      <c r="G3" s="512"/>
      <c r="H3" s="276"/>
      <c r="I3" s="276"/>
      <c r="J3" s="276"/>
      <c r="K3" s="276"/>
    </row>
    <row r="4" spans="2:11" ht="36.950000000000003" customHeight="1" thickBot="1">
      <c r="B4" s="277" t="s">
        <v>158</v>
      </c>
      <c r="C4" s="278" t="s">
        <v>159</v>
      </c>
      <c r="D4" s="278" t="s">
        <v>141</v>
      </c>
      <c r="E4" s="278" t="s">
        <v>160</v>
      </c>
      <c r="F4" s="278" t="s">
        <v>161</v>
      </c>
      <c r="G4" s="278" t="s">
        <v>162</v>
      </c>
    </row>
    <row r="5" spans="2:11">
      <c r="B5" s="279" t="s">
        <v>163</v>
      </c>
      <c r="C5" s="299" t="s">
        <v>164</v>
      </c>
      <c r="D5" s="300">
        <v>1</v>
      </c>
      <c r="E5" s="301">
        <v>405000</v>
      </c>
      <c r="F5" s="302">
        <f>ROUND(+E5*19%,0)</f>
        <v>76950</v>
      </c>
      <c r="G5" s="303">
        <f>+E5+F5</f>
        <v>481950</v>
      </c>
    </row>
    <row r="6" spans="2:11">
      <c r="B6" s="285" t="s">
        <v>165</v>
      </c>
      <c r="C6" s="286" t="s">
        <v>166</v>
      </c>
      <c r="D6" s="287">
        <v>1</v>
      </c>
      <c r="E6" s="304">
        <v>180000</v>
      </c>
      <c r="F6" s="302">
        <f t="shared" ref="F6:F8" si="0">ROUND(+E6*19%,0)</f>
        <v>34200</v>
      </c>
      <c r="G6" s="303">
        <f t="shared" ref="G6:G8" si="1">+E6+F6</f>
        <v>214200</v>
      </c>
    </row>
    <row r="7" spans="2:11">
      <c r="B7" s="285" t="s">
        <v>142</v>
      </c>
      <c r="C7" s="286" t="s">
        <v>167</v>
      </c>
      <c r="D7" s="287">
        <v>1</v>
      </c>
      <c r="E7" s="304">
        <v>4800000</v>
      </c>
      <c r="F7" s="302">
        <f t="shared" si="0"/>
        <v>912000</v>
      </c>
      <c r="G7" s="303">
        <f t="shared" si="1"/>
        <v>5712000</v>
      </c>
    </row>
    <row r="8" spans="2:11" ht="15.75" thickBot="1">
      <c r="B8" s="285" t="s">
        <v>143</v>
      </c>
      <c r="C8" s="286" t="s">
        <v>167</v>
      </c>
      <c r="D8" s="287">
        <v>1</v>
      </c>
      <c r="E8" s="301">
        <v>7500000</v>
      </c>
      <c r="F8" s="302">
        <f t="shared" si="0"/>
        <v>1425000</v>
      </c>
      <c r="G8" s="303">
        <f t="shared" si="1"/>
        <v>8925000</v>
      </c>
    </row>
    <row r="9" spans="2:11" ht="15.75" thickBot="1">
      <c r="B9" s="289" t="s">
        <v>168</v>
      </c>
      <c r="C9" s="290"/>
      <c r="D9" s="290"/>
      <c r="E9" s="305">
        <f>SUM(E5:E8)</f>
        <v>12885000</v>
      </c>
      <c r="F9" s="305">
        <f t="shared" ref="F9:G9" si="2">SUM(F5:F8)</f>
        <v>2448150</v>
      </c>
      <c r="G9" s="305">
        <f t="shared" si="2"/>
        <v>15333150</v>
      </c>
    </row>
    <row r="10" spans="2:11">
      <c r="B10" s="292"/>
      <c r="C10" s="292"/>
      <c r="D10" s="292"/>
      <c r="E10" s="292"/>
      <c r="F10" s="292"/>
      <c r="G10" s="292"/>
    </row>
    <row r="11" spans="2:11">
      <c r="B11" s="513" t="s">
        <v>169</v>
      </c>
      <c r="C11" s="513"/>
      <c r="D11" s="513"/>
      <c r="E11" s="513"/>
      <c r="F11" s="513"/>
      <c r="G11" s="513"/>
    </row>
    <row r="13" spans="2:11">
      <c r="B13" s="514" t="s">
        <v>170</v>
      </c>
      <c r="C13" s="514"/>
      <c r="D13" s="514"/>
      <c r="E13" s="514"/>
      <c r="F13" s="514"/>
      <c r="G13" s="514"/>
    </row>
    <row r="14" spans="2:11">
      <c r="B14" s="514"/>
      <c r="C14" s="514"/>
      <c r="D14" s="514"/>
      <c r="E14" s="514"/>
      <c r="F14" s="514"/>
      <c r="G14" s="514"/>
    </row>
    <row r="15" spans="2:11">
      <c r="B15" s="514"/>
      <c r="C15" s="514"/>
      <c r="D15" s="514"/>
      <c r="E15" s="514"/>
      <c r="F15" s="514"/>
      <c r="G15" s="514"/>
    </row>
    <row r="16" spans="2:11">
      <c r="B16" s="514"/>
      <c r="C16" s="514"/>
      <c r="D16" s="514"/>
      <c r="E16" s="514"/>
      <c r="F16" s="514"/>
      <c r="G16" s="514"/>
    </row>
    <row r="21" spans="1:11" ht="18">
      <c r="A21" s="505"/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</sheetData>
  <mergeCells count="7">
    <mergeCell ref="A21:K21"/>
    <mergeCell ref="B1:B3"/>
    <mergeCell ref="C1:G1"/>
    <mergeCell ref="C2:G2"/>
    <mergeCell ref="C3:G3"/>
    <mergeCell ref="B11:G11"/>
    <mergeCell ref="B13:G16"/>
  </mergeCells>
  <pageMargins left="0.7" right="0.7" top="0.75" bottom="0.75" header="0.3" footer="0.3"/>
  <headerFooter>
    <oddFooter>&amp;L_x000D_&amp;1#&amp;"Aptos"&amp;10&amp;K000000 Informacion publica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15"/>
  <sheetViews>
    <sheetView topLeftCell="F1" workbookViewId="0">
      <selection activeCell="G4" sqref="G4:K8"/>
    </sheetView>
  </sheetViews>
  <sheetFormatPr defaultColWidth="11.42578125" defaultRowHeight="15"/>
  <cols>
    <col min="2" max="2" width="56.140625" customWidth="1"/>
    <col min="3" max="4" width="35.5703125" customWidth="1"/>
    <col min="5" max="5" width="35.7109375" customWidth="1"/>
    <col min="6" max="6" width="25.42578125" customWidth="1"/>
    <col min="7" max="7" width="35.7109375" customWidth="1"/>
    <col min="8" max="8" width="14.5703125" bestFit="1" customWidth="1"/>
    <col min="9" max="10" width="13" bestFit="1" customWidth="1"/>
  </cols>
  <sheetData>
    <row r="1" spans="1:10" ht="27.75">
      <c r="B1" s="506"/>
      <c r="C1" s="515" t="s">
        <v>22</v>
      </c>
      <c r="D1" s="516"/>
      <c r="E1" s="516"/>
      <c r="F1" s="516"/>
      <c r="G1" s="274"/>
      <c r="H1" s="274"/>
      <c r="I1" s="274"/>
      <c r="J1" s="274"/>
    </row>
    <row r="2" spans="1:10" ht="19.5">
      <c r="B2" s="507"/>
      <c r="C2" s="517" t="s">
        <v>32</v>
      </c>
      <c r="D2" s="518"/>
      <c r="E2" s="518"/>
      <c r="F2" s="518"/>
      <c r="G2" s="275"/>
      <c r="H2" s="275"/>
      <c r="I2" s="275"/>
      <c r="J2" s="275"/>
    </row>
    <row r="3" spans="1:10" ht="32.1" customHeight="1" thickBot="1">
      <c r="B3" s="508"/>
      <c r="C3" s="519" t="s">
        <v>157</v>
      </c>
      <c r="D3" s="520"/>
      <c r="E3" s="520"/>
      <c r="F3" s="520"/>
      <c r="G3" s="276"/>
      <c r="H3" s="276"/>
      <c r="I3" s="276"/>
      <c r="J3" s="276"/>
    </row>
    <row r="4" spans="1:10" ht="36.950000000000003" customHeight="1" thickBot="1">
      <c r="B4" s="277" t="s">
        <v>158</v>
      </c>
      <c r="C4" s="278" t="s">
        <v>159</v>
      </c>
      <c r="D4" s="278" t="s">
        <v>141</v>
      </c>
      <c r="E4" s="278" t="s">
        <v>171</v>
      </c>
      <c r="F4" s="278" t="s">
        <v>172</v>
      </c>
    </row>
    <row r="5" spans="1:10">
      <c r="B5" s="279" t="s">
        <v>163</v>
      </c>
      <c r="C5" s="299" t="s">
        <v>164</v>
      </c>
      <c r="D5" s="300">
        <v>1</v>
      </c>
      <c r="E5" s="303">
        <v>345468</v>
      </c>
      <c r="F5" s="303">
        <f>ROUND(+E5*1.0556,0)</f>
        <v>364676</v>
      </c>
      <c r="H5" s="417">
        <f>ROUND(+F5/1.19,0)</f>
        <v>306450</v>
      </c>
      <c r="I5" s="417">
        <f>ROUND(+H5*19%,0)</f>
        <v>58226</v>
      </c>
      <c r="J5" s="418">
        <f>+H5+I5</f>
        <v>364676</v>
      </c>
    </row>
    <row r="6" spans="1:10">
      <c r="B6" s="285" t="s">
        <v>165</v>
      </c>
      <c r="C6" s="286" t="s">
        <v>166</v>
      </c>
      <c r="D6" s="287">
        <v>1</v>
      </c>
      <c r="E6" s="303">
        <v>109242</v>
      </c>
      <c r="F6" s="303">
        <f>ROUND(+E6*1.0556,0)</f>
        <v>115316</v>
      </c>
      <c r="H6" s="417">
        <f t="shared" ref="H6:H7" si="0">ROUND(+F6/1.19,0)</f>
        <v>96904</v>
      </c>
      <c r="I6" s="417">
        <f t="shared" ref="I6:I7" si="1">ROUND(+H6*19%,0)</f>
        <v>18412</v>
      </c>
    </row>
    <row r="7" spans="1:10">
      <c r="B7" s="285" t="s">
        <v>142</v>
      </c>
      <c r="C7" s="286" t="s">
        <v>167</v>
      </c>
      <c r="D7" s="287">
        <v>1</v>
      </c>
      <c r="E7" s="303">
        <v>1403842</v>
      </c>
      <c r="F7" s="303">
        <f>ROUND(+E7*1.0556,0)</f>
        <v>1481896</v>
      </c>
      <c r="H7" s="417">
        <f t="shared" si="0"/>
        <v>1245291</v>
      </c>
      <c r="I7" s="417">
        <f t="shared" si="1"/>
        <v>236605</v>
      </c>
    </row>
    <row r="8" spans="1:10" ht="15.75" thickBot="1">
      <c r="B8" s="285" t="s">
        <v>143</v>
      </c>
      <c r="C8" s="286" t="s">
        <v>167</v>
      </c>
      <c r="D8" s="287">
        <v>1</v>
      </c>
      <c r="E8" s="321"/>
      <c r="F8" s="303">
        <f>+E8*1.0556</f>
        <v>0</v>
      </c>
    </row>
    <row r="9" spans="1:10" ht="15.75" thickBot="1">
      <c r="B9" s="289" t="s">
        <v>168</v>
      </c>
      <c r="C9" s="290"/>
      <c r="D9" s="290"/>
      <c r="E9" s="305">
        <f t="shared" ref="E9:F9" si="2">SUM(E5:E8)</f>
        <v>1858552</v>
      </c>
      <c r="F9" s="305">
        <f t="shared" si="2"/>
        <v>1961888</v>
      </c>
    </row>
    <row r="10" spans="1:10">
      <c r="B10" s="292"/>
      <c r="C10" s="292"/>
      <c r="D10" s="292"/>
      <c r="E10" s="292"/>
      <c r="F10" s="292"/>
    </row>
    <row r="15" spans="1:10" ht="18">
      <c r="A15" s="505"/>
      <c r="B15" s="505"/>
      <c r="C15" s="505"/>
      <c r="D15" s="505"/>
      <c r="E15" s="505"/>
      <c r="F15" s="505"/>
      <c r="G15" s="505"/>
      <c r="H15" s="505"/>
      <c r="I15" s="505"/>
      <c r="J15" s="505"/>
    </row>
  </sheetData>
  <mergeCells count="5">
    <mergeCell ref="A15:J15"/>
    <mergeCell ref="C1:F1"/>
    <mergeCell ref="C2:F2"/>
    <mergeCell ref="C3:F3"/>
    <mergeCell ref="B1:B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10"/>
  <sheetViews>
    <sheetView topLeftCell="I1" workbookViewId="0">
      <selection activeCell="M5" sqref="M5:N10"/>
    </sheetView>
  </sheetViews>
  <sheetFormatPr defaultColWidth="11.42578125" defaultRowHeight="15"/>
  <cols>
    <col min="1" max="1" width="35.7109375" customWidth="1"/>
    <col min="2" max="2" width="29.5703125" hidden="1" customWidth="1"/>
    <col min="3" max="3" width="8.5703125" bestFit="1" customWidth="1"/>
    <col min="4" max="4" width="13.42578125" customWidth="1"/>
    <col min="5" max="5" width="8.85546875" customWidth="1"/>
    <col min="6" max="6" width="13.85546875" bestFit="1" customWidth="1"/>
    <col min="7" max="7" width="11" customWidth="1"/>
    <col min="8" max="8" width="8.85546875" customWidth="1"/>
    <col min="9" max="9" width="12.85546875" bestFit="1" customWidth="1"/>
    <col min="10" max="10" width="11" customWidth="1"/>
    <col min="11" max="11" width="8.85546875" customWidth="1"/>
    <col min="12" max="12" width="12.85546875" bestFit="1" customWidth="1"/>
    <col min="13" max="14" width="12.85546875" customWidth="1"/>
    <col min="15" max="15" width="13.85546875" bestFit="1" customWidth="1"/>
    <col min="16" max="18" width="15" bestFit="1" customWidth="1"/>
    <col min="19" max="19" width="12.7109375" bestFit="1" customWidth="1"/>
    <col min="20" max="23" width="8.140625" bestFit="1" customWidth="1"/>
  </cols>
  <sheetData>
    <row r="1" spans="1:24" ht="15.75">
      <c r="A1" s="506"/>
      <c r="B1" s="517" t="s">
        <v>22</v>
      </c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</row>
    <row r="2" spans="1:24" ht="15.75">
      <c r="A2" s="507"/>
      <c r="B2" s="517" t="s">
        <v>32</v>
      </c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</row>
    <row r="3" spans="1:24" ht="32.1" customHeight="1">
      <c r="A3" s="507"/>
      <c r="B3" s="523" t="s">
        <v>157</v>
      </c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T3" s="524"/>
      <c r="U3" s="524"/>
      <c r="V3" s="524"/>
      <c r="W3" s="524"/>
    </row>
    <row r="4" spans="1:24" ht="32.1" customHeight="1">
      <c r="A4" s="530" t="s">
        <v>158</v>
      </c>
      <c r="B4" s="530" t="s">
        <v>159</v>
      </c>
      <c r="C4" s="530" t="s">
        <v>141</v>
      </c>
      <c r="D4" s="531" t="s">
        <v>173</v>
      </c>
      <c r="E4" s="531"/>
      <c r="F4" s="531"/>
      <c r="G4" s="525" t="s">
        <v>147</v>
      </c>
      <c r="H4" s="525"/>
      <c r="I4" s="525"/>
      <c r="J4" s="526" t="s">
        <v>148</v>
      </c>
      <c r="K4" s="526"/>
      <c r="L4" s="526"/>
      <c r="M4" s="527" t="s">
        <v>174</v>
      </c>
      <c r="N4" s="528"/>
      <c r="O4" s="529"/>
      <c r="P4" s="521" t="s">
        <v>175</v>
      </c>
      <c r="Q4" s="521"/>
      <c r="R4" s="521"/>
      <c r="S4" s="521"/>
      <c r="T4" s="522" t="s">
        <v>176</v>
      </c>
      <c r="U4" s="522"/>
      <c r="V4" s="522"/>
      <c r="W4" s="522"/>
    </row>
    <row r="5" spans="1:24" ht="36.950000000000003" customHeight="1">
      <c r="A5" s="530"/>
      <c r="B5" s="530"/>
      <c r="C5" s="530"/>
      <c r="D5" s="296" t="s">
        <v>160</v>
      </c>
      <c r="E5" s="296" t="s">
        <v>161</v>
      </c>
      <c r="F5" s="296" t="s">
        <v>162</v>
      </c>
      <c r="G5" s="297" t="s">
        <v>160</v>
      </c>
      <c r="H5" s="297" t="s">
        <v>161</v>
      </c>
      <c r="I5" s="297" t="s">
        <v>162</v>
      </c>
      <c r="J5" s="298" t="s">
        <v>160</v>
      </c>
      <c r="K5" s="298" t="s">
        <v>161</v>
      </c>
      <c r="L5" s="298" t="s">
        <v>162</v>
      </c>
      <c r="M5" s="295" t="s">
        <v>160</v>
      </c>
      <c r="N5" s="295" t="s">
        <v>161</v>
      </c>
      <c r="O5" s="295" t="s">
        <v>162</v>
      </c>
      <c r="P5" s="298" t="s">
        <v>149</v>
      </c>
      <c r="Q5" s="298" t="s">
        <v>150</v>
      </c>
      <c r="R5" s="298" t="s">
        <v>151</v>
      </c>
      <c r="S5" s="298" t="s">
        <v>177</v>
      </c>
      <c r="T5" s="298" t="s">
        <v>178</v>
      </c>
      <c r="U5" s="298" t="s">
        <v>179</v>
      </c>
      <c r="V5" s="298" t="s">
        <v>180</v>
      </c>
      <c r="W5" s="298" t="s">
        <v>181</v>
      </c>
      <c r="X5" s="310"/>
    </row>
    <row r="6" spans="1:24">
      <c r="A6" s="397" t="s">
        <v>163</v>
      </c>
      <c r="B6" s="389" t="s">
        <v>164</v>
      </c>
      <c r="C6" s="390">
        <v>1</v>
      </c>
      <c r="D6" s="391">
        <v>550000</v>
      </c>
      <c r="E6" s="391">
        <f>ROUND(+D6*19%,0)</f>
        <v>104500</v>
      </c>
      <c r="F6" s="392">
        <f>+D6+E6</f>
        <v>654500</v>
      </c>
      <c r="G6" s="391">
        <v>700000</v>
      </c>
      <c r="H6" s="391">
        <f>ROUND(+G6*19%,0)</f>
        <v>133000</v>
      </c>
      <c r="I6" s="392">
        <f>+G6+H6</f>
        <v>833000</v>
      </c>
      <c r="J6" s="391">
        <v>405000</v>
      </c>
      <c r="K6" s="391">
        <f>ROUND(+J6*19%,0)</f>
        <v>76950</v>
      </c>
      <c r="L6" s="392">
        <f>+J6+K6</f>
        <v>481950</v>
      </c>
      <c r="M6" s="392">
        <f>ROUND(+'Cotizacion No.4'!F5/1.19,0)</f>
        <v>306450</v>
      </c>
      <c r="N6" s="392">
        <f>ROUND(+M6*19%,0)</f>
        <v>58226</v>
      </c>
      <c r="O6" s="419">
        <f>+'Cotizacion No.4'!F5</f>
        <v>364676</v>
      </c>
      <c r="P6" s="392">
        <f>ROUND(+AVERAGE(F6,I6,L6,O6),0)</f>
        <v>583532</v>
      </c>
      <c r="Q6" s="392">
        <f>+MEDIAN(F6,I6,L6,O6)</f>
        <v>568225</v>
      </c>
      <c r="R6" s="392">
        <f>+ROUND(GEOMEAN(F6,I6,L6,O6),0)</f>
        <v>556373</v>
      </c>
      <c r="S6" s="392">
        <f>ROUND(STDEV(F6,I6,L6,O6),0)</f>
        <v>204522</v>
      </c>
      <c r="T6" s="307">
        <f>ABS(F6-$P6)/$P6</f>
        <v>0.12161800895237965</v>
      </c>
      <c r="U6" s="309">
        <f>ABS(I6-$P6)/$P6</f>
        <v>0.4275138295757559</v>
      </c>
      <c r="V6" s="307">
        <f>ABS(L6-$P6)/$P6</f>
        <v>0.17408128431688408</v>
      </c>
      <c r="W6" s="309">
        <f>ABS(O6-$P6)/$P6</f>
        <v>0.37505398161540415</v>
      </c>
    </row>
    <row r="7" spans="1:24">
      <c r="A7" s="397" t="s">
        <v>165</v>
      </c>
      <c r="B7" s="393" t="s">
        <v>166</v>
      </c>
      <c r="C7" s="394">
        <v>1</v>
      </c>
      <c r="D7" s="391">
        <v>210000</v>
      </c>
      <c r="E7" s="391">
        <f>ROUND(+D7*19%,0)</f>
        <v>39900</v>
      </c>
      <c r="F7" s="392">
        <f>+D7+E7</f>
        <v>249900</v>
      </c>
      <c r="G7" s="391">
        <v>150000</v>
      </c>
      <c r="H7" s="391">
        <f>ROUND(+G7*19%,0)</f>
        <v>28500</v>
      </c>
      <c r="I7" s="392">
        <f>+G7+H7</f>
        <v>178500</v>
      </c>
      <c r="J7" s="391">
        <v>180000</v>
      </c>
      <c r="K7" s="391">
        <f>ROUND(+J7*19%,0)</f>
        <v>34200</v>
      </c>
      <c r="L7" s="392">
        <f>+J7+K7</f>
        <v>214200</v>
      </c>
      <c r="M7" s="392">
        <f>ROUND(+'Cotizacion No.4'!F6/1.19,0)</f>
        <v>96904</v>
      </c>
      <c r="N7" s="392">
        <f t="shared" ref="N7:N9" si="0">ROUND(+M7*19%,0)</f>
        <v>18412</v>
      </c>
      <c r="O7" s="419">
        <f>+'Cotizacion No.4'!F6</f>
        <v>115316</v>
      </c>
      <c r="P7" s="392">
        <f>ROUND(+AVERAGE(F7,I7,L7,O7),0)</f>
        <v>189479</v>
      </c>
      <c r="Q7" s="392">
        <f t="shared" ref="Q7" si="1">+MEDIAN(F7,I7,L7,O7)</f>
        <v>196350</v>
      </c>
      <c r="R7" s="392">
        <f t="shared" ref="R7:R8" si="2">+ROUND(GEOMEAN(F7,I7,L7,O7),0)</f>
        <v>182192</v>
      </c>
      <c r="S7" s="392">
        <f t="shared" ref="S7:S8" si="3">ROUND(STDEV(F7,I7,L7,O7),0)</f>
        <v>57395</v>
      </c>
      <c r="T7" s="307">
        <f t="shared" ref="T7:T9" si="4">ABS(F7-$P7)/$P7</f>
        <v>0.31887966476496077</v>
      </c>
      <c r="U7" s="307">
        <f t="shared" ref="U7:U9" si="5">ABS(I7-$P7)/$P7</f>
        <v>5.7943096596456599E-2</v>
      </c>
      <c r="V7" s="307">
        <f t="shared" ref="V7:V9" si="6">ABS(L7-$P7)/$P7</f>
        <v>0.13046828408425207</v>
      </c>
      <c r="W7" s="309">
        <f t="shared" ref="W7:W8" si="7">ABS(O7-$P7)/$P7</f>
        <v>0.39140485225275623</v>
      </c>
    </row>
    <row r="8" spans="1:24" ht="24">
      <c r="A8" s="397" t="s">
        <v>142</v>
      </c>
      <c r="B8" s="393" t="s">
        <v>167</v>
      </c>
      <c r="C8" s="394">
        <v>1</v>
      </c>
      <c r="D8" s="391">
        <v>7194986</v>
      </c>
      <c r="E8" s="391">
        <f>ROUND(+D8*19%,0)</f>
        <v>1367047</v>
      </c>
      <c r="F8" s="392">
        <f>+D8+E8</f>
        <v>8562033</v>
      </c>
      <c r="G8" s="391">
        <v>2100000</v>
      </c>
      <c r="H8" s="391">
        <f>ROUND(+G8*19%,0)</f>
        <v>399000</v>
      </c>
      <c r="I8" s="392">
        <f>+G8+H8</f>
        <v>2499000</v>
      </c>
      <c r="J8" s="391">
        <v>4800000</v>
      </c>
      <c r="K8" s="391">
        <f>ROUND(+J8*19%,0)</f>
        <v>912000</v>
      </c>
      <c r="L8" s="392">
        <f>+J8+K8</f>
        <v>5712000</v>
      </c>
      <c r="M8" s="392">
        <f>ROUND(+'Cotizacion No.4'!F7/1.19,0)</f>
        <v>1245291</v>
      </c>
      <c r="N8" s="392">
        <f t="shared" si="0"/>
        <v>236605</v>
      </c>
      <c r="O8" s="419">
        <f>+'Cotizacion No.4'!F7</f>
        <v>1481896</v>
      </c>
      <c r="P8" s="392">
        <f>ROUND(+AVERAGE(F8,I8,L8,O8),0)</f>
        <v>4563732</v>
      </c>
      <c r="Q8" s="392">
        <f>+MEDIAN(F8,I8,L8,O8)</f>
        <v>4105500</v>
      </c>
      <c r="R8" s="392">
        <f t="shared" si="2"/>
        <v>3668489</v>
      </c>
      <c r="S8" s="392">
        <f t="shared" si="3"/>
        <v>3217958</v>
      </c>
      <c r="T8" s="308">
        <f t="shared" si="4"/>
        <v>0.8761033732918585</v>
      </c>
      <c r="U8" s="309">
        <f t="shared" si="5"/>
        <v>0.45242183370977962</v>
      </c>
      <c r="V8" s="307">
        <f t="shared" si="6"/>
        <v>0.25160723723478945</v>
      </c>
      <c r="W8" s="308">
        <f t="shared" si="7"/>
        <v>0.67528855769795426</v>
      </c>
    </row>
    <row r="9" spans="1:24" ht="33.75" customHeight="1">
      <c r="A9" s="397" t="s">
        <v>143</v>
      </c>
      <c r="B9" s="393" t="s">
        <v>167</v>
      </c>
      <c r="C9" s="394">
        <v>1</v>
      </c>
      <c r="D9" s="391">
        <v>6821277</v>
      </c>
      <c r="E9" s="391">
        <f>ROUND(+D9*19%,0)</f>
        <v>1296043</v>
      </c>
      <c r="F9" s="392">
        <f>+D9+E9</f>
        <v>8117320</v>
      </c>
      <c r="G9" s="391">
        <v>2100000</v>
      </c>
      <c r="H9" s="391">
        <f>ROUND(+G9*19%,0)</f>
        <v>399000</v>
      </c>
      <c r="I9" s="392">
        <f>+G9+H9</f>
        <v>2499000</v>
      </c>
      <c r="J9" s="391">
        <v>7500000</v>
      </c>
      <c r="K9" s="391">
        <f>ROUND(+J9*19%,0)</f>
        <v>1425000</v>
      </c>
      <c r="L9" s="392">
        <f>+J9+K9</f>
        <v>8925000</v>
      </c>
      <c r="M9" s="392">
        <f>ROUND(+'Cotizacion No.4'!F8/1.19,0)</f>
        <v>0</v>
      </c>
      <c r="N9" s="392">
        <f t="shared" si="0"/>
        <v>0</v>
      </c>
      <c r="O9" s="420"/>
      <c r="P9" s="392">
        <f>ROUND(+AVERAGE(F9,I9,L9),0)</f>
        <v>6513773</v>
      </c>
      <c r="Q9" s="392">
        <f>+MEDIAN(F9,I9,L9)</f>
        <v>8117320</v>
      </c>
      <c r="R9" s="392">
        <f>+ROUND(GEOMEAN(F9,I9,L9),0)</f>
        <v>5657124</v>
      </c>
      <c r="S9" s="392">
        <f>ROUND(STDEV(F9,I9,L9),0)</f>
        <v>3500270</v>
      </c>
      <c r="T9" s="307">
        <f t="shared" si="4"/>
        <v>0.24617790641460793</v>
      </c>
      <c r="U9" s="308">
        <f t="shared" si="5"/>
        <v>0.61635138344550844</v>
      </c>
      <c r="V9" s="307">
        <f t="shared" si="6"/>
        <v>0.37017363055175551</v>
      </c>
      <c r="W9" s="309"/>
    </row>
    <row r="10" spans="1:24" ht="32.25" customHeight="1">
      <c r="A10" s="398" t="s">
        <v>168</v>
      </c>
      <c r="B10" s="395"/>
      <c r="C10" s="395"/>
      <c r="D10" s="396">
        <f>SUM(D6:D9)</f>
        <v>14776263</v>
      </c>
      <c r="E10" s="396">
        <f t="shared" ref="E10:G10" si="8">SUM(E6:E9)</f>
        <v>2807490</v>
      </c>
      <c r="F10" s="396">
        <f t="shared" si="8"/>
        <v>17583753</v>
      </c>
      <c r="G10" s="396">
        <f t="shared" si="8"/>
        <v>5050000</v>
      </c>
      <c r="H10" s="396">
        <f t="shared" ref="H10" si="9">SUM(H6:H9)</f>
        <v>959500</v>
      </c>
      <c r="I10" s="396">
        <f t="shared" ref="I10" si="10">SUM(I6:I9)</f>
        <v>6009500</v>
      </c>
      <c r="J10" s="396">
        <f>SUM(J6:J9)</f>
        <v>12885000</v>
      </c>
      <c r="K10" s="396">
        <f t="shared" ref="K10" si="11">SUM(K6:K9)</f>
        <v>2448150</v>
      </c>
      <c r="L10" s="396">
        <f t="shared" ref="L10:O10" si="12">SUM(L6:L9)</f>
        <v>15333150</v>
      </c>
      <c r="M10" s="396">
        <f>SUM(M6:M9)</f>
        <v>1648645</v>
      </c>
      <c r="N10" s="396">
        <f>SUM(N6:N9)</f>
        <v>313243</v>
      </c>
      <c r="O10" s="421">
        <f t="shared" si="12"/>
        <v>1961888</v>
      </c>
      <c r="P10" s="399">
        <f>SUM(P6:P9)</f>
        <v>11850516</v>
      </c>
      <c r="Q10" s="399">
        <f t="shared" ref="Q10:R10" si="13">SUM(Q6:Q9)</f>
        <v>12987395</v>
      </c>
      <c r="R10" s="399">
        <f t="shared" si="13"/>
        <v>10064178</v>
      </c>
      <c r="S10" s="306"/>
      <c r="T10" s="306"/>
      <c r="U10" s="306"/>
      <c r="V10" s="306"/>
      <c r="W10" s="306"/>
    </row>
  </sheetData>
  <mergeCells count="13">
    <mergeCell ref="A1:A3"/>
    <mergeCell ref="A4:A5"/>
    <mergeCell ref="B4:B5"/>
    <mergeCell ref="C4:C5"/>
    <mergeCell ref="D4:F4"/>
    <mergeCell ref="P4:S4"/>
    <mergeCell ref="T4:W4"/>
    <mergeCell ref="B1:W1"/>
    <mergeCell ref="B2:W2"/>
    <mergeCell ref="B3:W3"/>
    <mergeCell ref="G4:I4"/>
    <mergeCell ref="J4:L4"/>
    <mergeCell ref="M4:O4"/>
  </mergeCells>
  <phoneticPr fontId="65" type="noConversion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14"/>
  <sheetViews>
    <sheetView tabSelected="1" topLeftCell="A4" workbookViewId="0">
      <selection activeCell="E12" sqref="E12"/>
    </sheetView>
  </sheetViews>
  <sheetFormatPr defaultColWidth="11.42578125" defaultRowHeight="12"/>
  <cols>
    <col min="1" max="1" width="36.7109375" style="317" bestFit="1" customWidth="1"/>
    <col min="2" max="2" width="33.5703125" style="317" customWidth="1"/>
    <col min="3" max="3" width="9.42578125" style="317" customWidth="1"/>
    <col min="4" max="4" width="15.140625" style="317" customWidth="1"/>
    <col min="5" max="5" width="12.140625" style="317" customWidth="1"/>
    <col min="6" max="11" width="10.5703125" style="317" customWidth="1"/>
    <col min="12" max="14" width="10.85546875" style="317" customWidth="1"/>
    <col min="15" max="23" width="10.5703125" style="317" customWidth="1"/>
    <col min="24" max="24" width="12.5703125" style="317" customWidth="1"/>
    <col min="25" max="25" width="11.42578125" style="317"/>
    <col min="26" max="27" width="12.42578125" style="317" bestFit="1" customWidth="1"/>
    <col min="28" max="28" width="13.5703125" style="317" customWidth="1"/>
    <col min="29" max="16384" width="11.42578125" style="317"/>
  </cols>
  <sheetData>
    <row r="1" spans="1:28">
      <c r="A1" s="433"/>
      <c r="B1" s="436" t="s">
        <v>22</v>
      </c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8"/>
    </row>
    <row r="2" spans="1:28">
      <c r="A2" s="433"/>
      <c r="B2" s="436" t="s">
        <v>32</v>
      </c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8"/>
    </row>
    <row r="3" spans="1:28" ht="32.1" customHeight="1">
      <c r="A3" s="433"/>
      <c r="B3" s="439" t="s">
        <v>157</v>
      </c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440"/>
      <c r="N3" s="440"/>
      <c r="O3" s="440"/>
      <c r="P3" s="440"/>
      <c r="Q3" s="440"/>
      <c r="R3" s="440"/>
      <c r="S3" s="440"/>
      <c r="T3" s="440"/>
      <c r="U3" s="440"/>
      <c r="V3" s="440"/>
      <c r="W3" s="441"/>
      <c r="X3" s="422"/>
    </row>
    <row r="4" spans="1:28" ht="47.25" customHeight="1">
      <c r="A4" s="434" t="s">
        <v>158</v>
      </c>
      <c r="B4" s="434" t="s">
        <v>159</v>
      </c>
      <c r="C4" s="434" t="s">
        <v>141</v>
      </c>
      <c r="D4" s="435" t="s">
        <v>173</v>
      </c>
      <c r="E4" s="435"/>
      <c r="F4" s="435"/>
      <c r="G4" s="435" t="s">
        <v>147</v>
      </c>
      <c r="H4" s="435"/>
      <c r="I4" s="435"/>
      <c r="J4" s="435" t="s">
        <v>148</v>
      </c>
      <c r="K4" s="435"/>
      <c r="L4" s="435"/>
      <c r="M4" s="430" t="s">
        <v>182</v>
      </c>
      <c r="N4" s="431"/>
      <c r="O4" s="432"/>
      <c r="P4" s="427" t="s">
        <v>183</v>
      </c>
      <c r="Q4" s="427"/>
      <c r="R4" s="427"/>
      <c r="S4" s="427"/>
      <c r="T4" s="428" t="s">
        <v>176</v>
      </c>
      <c r="U4" s="428"/>
      <c r="V4" s="428"/>
      <c r="W4" s="428"/>
      <c r="X4" s="429" t="s">
        <v>184</v>
      </c>
    </row>
    <row r="5" spans="1:28" ht="58.5" customHeight="1">
      <c r="A5" s="434"/>
      <c r="B5" s="434"/>
      <c r="C5" s="434"/>
      <c r="D5" s="312" t="s">
        <v>160</v>
      </c>
      <c r="E5" s="312" t="s">
        <v>161</v>
      </c>
      <c r="F5" s="312" t="s">
        <v>162</v>
      </c>
      <c r="G5" s="312" t="s">
        <v>160</v>
      </c>
      <c r="H5" s="312" t="s">
        <v>161</v>
      </c>
      <c r="I5" s="312" t="s">
        <v>162</v>
      </c>
      <c r="J5" s="312" t="s">
        <v>160</v>
      </c>
      <c r="K5" s="312" t="s">
        <v>161</v>
      </c>
      <c r="L5" s="312" t="s">
        <v>162</v>
      </c>
      <c r="M5" s="295" t="s">
        <v>160</v>
      </c>
      <c r="N5" s="295" t="s">
        <v>161</v>
      </c>
      <c r="O5" s="312" t="s">
        <v>162</v>
      </c>
      <c r="P5" s="313" t="s">
        <v>149</v>
      </c>
      <c r="Q5" s="313" t="s">
        <v>150</v>
      </c>
      <c r="R5" s="313" t="s">
        <v>151</v>
      </c>
      <c r="S5" s="313" t="s">
        <v>177</v>
      </c>
      <c r="T5" s="313" t="s">
        <v>178</v>
      </c>
      <c r="U5" s="313" t="s">
        <v>179</v>
      </c>
      <c r="V5" s="313" t="s">
        <v>180</v>
      </c>
      <c r="W5" s="313" t="s">
        <v>181</v>
      </c>
      <c r="X5" s="429"/>
    </row>
    <row r="6" spans="1:28">
      <c r="A6" s="314" t="s">
        <v>163</v>
      </c>
      <c r="B6" s="315" t="s">
        <v>164</v>
      </c>
      <c r="C6" s="316">
        <v>1</v>
      </c>
      <c r="D6" s="386">
        <v>550000</v>
      </c>
      <c r="E6" s="386">
        <f>ROUND(+D6*19%,0)</f>
        <v>104500</v>
      </c>
      <c r="F6" s="400">
        <f>+D6+E6</f>
        <v>654500</v>
      </c>
      <c r="G6" s="401">
        <v>700000</v>
      </c>
      <c r="H6" s="401">
        <f>ROUND(+G6*19%,0)</f>
        <v>133000</v>
      </c>
      <c r="I6" s="400">
        <f>+G6+H6</f>
        <v>833000</v>
      </c>
      <c r="J6" s="401">
        <v>405000</v>
      </c>
      <c r="K6" s="401">
        <f>ROUND(+J6*19%,0)</f>
        <v>76950</v>
      </c>
      <c r="L6" s="400">
        <f>+J6+K6</f>
        <v>481950</v>
      </c>
      <c r="M6" s="392">
        <f>ROUND(+'Cotizacion No.4'!F5/1.19,0)</f>
        <v>306450</v>
      </c>
      <c r="N6" s="392">
        <f>ROUND(+M6*19%,0)</f>
        <v>58226</v>
      </c>
      <c r="O6" s="400">
        <f>+'Cotizacion No.4'!F5</f>
        <v>364676</v>
      </c>
      <c r="P6" s="402">
        <f>ROUND(+AVERAGE(F6,I6,L6,O6),0)</f>
        <v>583532</v>
      </c>
      <c r="Q6" s="402">
        <f>+MEDIAN(F6,I6,L6,O6)</f>
        <v>568225</v>
      </c>
      <c r="R6" s="402">
        <f>+ROUND(GEOMEAN(F6,I6,L6,O6),0)</f>
        <v>556373</v>
      </c>
      <c r="S6" s="403">
        <f>ROUND(STDEV(F6,I6,L6,O6),0)</f>
        <v>204522</v>
      </c>
      <c r="T6" s="404">
        <f>ABS(F6-$P6)/$P6</f>
        <v>0.12161800895237965</v>
      </c>
      <c r="U6" s="405">
        <f>ABS(I6-$P6)/$P6</f>
        <v>0.4275138295757559</v>
      </c>
      <c r="V6" s="404">
        <f>ABS(L6-$P6)/$P6</f>
        <v>0.17408128431688408</v>
      </c>
      <c r="W6" s="405">
        <f>ABS(I6-$P6)/$P6</f>
        <v>0.4275138295757559</v>
      </c>
      <c r="X6" s="406">
        <f>+R6</f>
        <v>556373</v>
      </c>
      <c r="Z6" s="319"/>
      <c r="AA6" s="319"/>
      <c r="AB6" s="320"/>
    </row>
    <row r="7" spans="1:28">
      <c r="A7" s="314" t="s">
        <v>165</v>
      </c>
      <c r="B7" s="315" t="s">
        <v>166</v>
      </c>
      <c r="C7" s="316">
        <v>1</v>
      </c>
      <c r="D7" s="386">
        <v>210000</v>
      </c>
      <c r="E7" s="386">
        <f>ROUND(+D7*19%,0)</f>
        <v>39900</v>
      </c>
      <c r="F7" s="400">
        <f>+D7+E7</f>
        <v>249900</v>
      </c>
      <c r="G7" s="401">
        <v>150000</v>
      </c>
      <c r="H7" s="401">
        <f>ROUND(+G7*19%,0)</f>
        <v>28500</v>
      </c>
      <c r="I7" s="400">
        <f>+G7+H7</f>
        <v>178500</v>
      </c>
      <c r="J7" s="401">
        <v>180000</v>
      </c>
      <c r="K7" s="401">
        <f>ROUND(+J7*19%,0)</f>
        <v>34200</v>
      </c>
      <c r="L7" s="400">
        <f>+J7+K7</f>
        <v>214200</v>
      </c>
      <c r="M7" s="392">
        <f>ROUND(+'Cotizacion No.4'!F6/1.19,0)</f>
        <v>96904</v>
      </c>
      <c r="N7" s="392">
        <f t="shared" ref="N7:N9" si="0">ROUND(+M7*19%,0)</f>
        <v>18412</v>
      </c>
      <c r="O7" s="400">
        <f>+'Cotizacion No.4'!F6</f>
        <v>115316</v>
      </c>
      <c r="P7" s="402">
        <f>ROUND(+AVERAGE(F7,I7,L7,O7),0)</f>
        <v>189479</v>
      </c>
      <c r="Q7" s="402">
        <f>+MEDIAN(F7,I7,L7,O7)</f>
        <v>196350</v>
      </c>
      <c r="R7" s="402">
        <f>+ROUND(GEOMEAN(F7,I7,L7,O7),0)</f>
        <v>182192</v>
      </c>
      <c r="S7" s="403">
        <f>ROUND(STDEV(F7,I7,L7,O7),0)</f>
        <v>57395</v>
      </c>
      <c r="T7" s="404">
        <f>ABS(F7-$P7)/$P7</f>
        <v>0.31887966476496077</v>
      </c>
      <c r="U7" s="404">
        <f>ABS(I7-$P7)/$P7</f>
        <v>5.7943096596456599E-2</v>
      </c>
      <c r="V7" s="404">
        <f>ABS(L7-$P7)/$P7</f>
        <v>0.13046828408425207</v>
      </c>
      <c r="W7" s="404">
        <f>ABS(I7-$P7)/$P7</f>
        <v>5.7943096596456599E-2</v>
      </c>
      <c r="X7" s="406">
        <f t="shared" ref="X7:X10" si="1">+R7</f>
        <v>182192</v>
      </c>
      <c r="Z7" s="319"/>
      <c r="AA7" s="319"/>
      <c r="AB7" s="320"/>
    </row>
    <row r="8" spans="1:28">
      <c r="A8" s="314" t="s">
        <v>142</v>
      </c>
      <c r="B8" s="315" t="s">
        <v>167</v>
      </c>
      <c r="C8" s="316">
        <v>1</v>
      </c>
      <c r="D8" s="387"/>
      <c r="E8" s="387"/>
      <c r="F8" s="407"/>
      <c r="G8" s="401">
        <v>2100000</v>
      </c>
      <c r="H8" s="401">
        <f>ROUND(+G8*19%,0)</f>
        <v>399000</v>
      </c>
      <c r="I8" s="400">
        <f>+G8+H8</f>
        <v>2499000</v>
      </c>
      <c r="J8" s="401">
        <v>4800000</v>
      </c>
      <c r="K8" s="401">
        <f>ROUND(+J8*19%,0)</f>
        <v>912000</v>
      </c>
      <c r="L8" s="400">
        <f>+J8+K8</f>
        <v>5712000</v>
      </c>
      <c r="M8" s="392">
        <f>ROUND(+'Cotizacion No.4'!F7/1.19,0)</f>
        <v>1245291</v>
      </c>
      <c r="N8" s="392">
        <f t="shared" si="0"/>
        <v>236605</v>
      </c>
      <c r="O8" s="408"/>
      <c r="P8" s="402">
        <f>ROUND(+AVERAGE(I8,L8,O8),0)</f>
        <v>4105500</v>
      </c>
      <c r="Q8" s="402">
        <f>+MEDIAN(I8,L8,O8)</f>
        <v>4105500</v>
      </c>
      <c r="R8" s="402">
        <f>+ROUND(GEOMEAN(I8,L8),0)</f>
        <v>3778133</v>
      </c>
      <c r="S8" s="403">
        <f>ROUND(STDEV(I8,L8),0)</f>
        <v>2271934</v>
      </c>
      <c r="T8" s="409"/>
      <c r="U8" s="405">
        <f t="shared" ref="U8" si="2">ABS(I8-$P8)/$P8</f>
        <v>0.39130434782608697</v>
      </c>
      <c r="V8" s="404">
        <f t="shared" ref="V8:V9" si="3">ABS(L8-$P8)/$P8</f>
        <v>0.39130434782608697</v>
      </c>
      <c r="W8" s="405">
        <f t="shared" ref="W8" si="4">ABS(I8-$P8)/$P8</f>
        <v>0.39130434782608697</v>
      </c>
      <c r="X8" s="406">
        <f t="shared" si="1"/>
        <v>3778133</v>
      </c>
      <c r="Z8" s="319"/>
      <c r="AA8" s="319"/>
      <c r="AB8" s="320"/>
    </row>
    <row r="9" spans="1:28" ht="33.75" customHeight="1">
      <c r="A9" s="314" t="s">
        <v>143</v>
      </c>
      <c r="B9" s="315" t="s">
        <v>167</v>
      </c>
      <c r="C9" s="316">
        <v>1</v>
      </c>
      <c r="D9" s="386">
        <v>6821277</v>
      </c>
      <c r="E9" s="386">
        <f>ROUND(+D9*19%,0)</f>
        <v>1296043</v>
      </c>
      <c r="F9" s="400">
        <f>+D9+E9</f>
        <v>8117320</v>
      </c>
      <c r="G9" s="410"/>
      <c r="H9" s="410"/>
      <c r="I9" s="407"/>
      <c r="J9" s="401">
        <v>7500000</v>
      </c>
      <c r="K9" s="401">
        <f>ROUND(+J9*19%,0)</f>
        <v>1425000</v>
      </c>
      <c r="L9" s="400">
        <f>+J9+K9</f>
        <v>8925000</v>
      </c>
      <c r="M9" s="392">
        <f>ROUND(+'Cotizacion No.4'!F8/1.19,0)</f>
        <v>0</v>
      </c>
      <c r="N9" s="392">
        <f t="shared" si="0"/>
        <v>0</v>
      </c>
      <c r="O9" s="411"/>
      <c r="P9" s="402">
        <f>ROUND(+AVERAGE(F9,L9),0)</f>
        <v>8521160</v>
      </c>
      <c r="Q9" s="402">
        <f>+MEDIAN(F9,L9)</f>
        <v>8521160</v>
      </c>
      <c r="R9" s="402">
        <f>+ROUND(GEOMEAN(F9,L9),0)</f>
        <v>8511585</v>
      </c>
      <c r="S9" s="403">
        <f>ROUND(STDEV(F9,L9),0)</f>
        <v>571116</v>
      </c>
      <c r="T9" s="404">
        <f t="shared" ref="T9" si="5">ABS(F9-$P9)/$P9</f>
        <v>4.7392608518089088E-2</v>
      </c>
      <c r="U9" s="409"/>
      <c r="V9" s="404">
        <f t="shared" si="3"/>
        <v>4.7392608518089088E-2</v>
      </c>
      <c r="W9" s="409"/>
      <c r="X9" s="406">
        <f t="shared" si="1"/>
        <v>8511585</v>
      </c>
      <c r="Z9" s="319"/>
      <c r="AA9" s="319"/>
      <c r="AB9" s="320"/>
    </row>
    <row r="10" spans="1:28" s="318" customFormat="1" ht="32.25" customHeight="1">
      <c r="A10" s="423" t="s">
        <v>168</v>
      </c>
      <c r="B10" s="423"/>
      <c r="C10" s="423"/>
      <c r="D10" s="388">
        <f>SUM(D6:D9)</f>
        <v>7581277</v>
      </c>
      <c r="E10" s="388">
        <f t="shared" ref="E10:I10" si="6">SUM(E6:E9)</f>
        <v>1440443</v>
      </c>
      <c r="F10" s="412">
        <f t="shared" si="6"/>
        <v>9021720</v>
      </c>
      <c r="G10" s="412">
        <f t="shared" si="6"/>
        <v>2950000</v>
      </c>
      <c r="H10" s="412">
        <f t="shared" si="6"/>
        <v>560500</v>
      </c>
      <c r="I10" s="412">
        <f t="shared" si="6"/>
        <v>3510500</v>
      </c>
      <c r="J10" s="412">
        <f>SUM(J6:J9)</f>
        <v>12885000</v>
      </c>
      <c r="K10" s="412">
        <f t="shared" ref="K10:O10" si="7">SUM(K6:K9)</f>
        <v>2448150</v>
      </c>
      <c r="L10" s="412">
        <f t="shared" si="7"/>
        <v>15333150</v>
      </c>
      <c r="M10" s="412">
        <f>SUM(M6:M9)</f>
        <v>1648645</v>
      </c>
      <c r="N10" s="412">
        <f>SUM(N6:N9)</f>
        <v>313243</v>
      </c>
      <c r="O10" s="412">
        <f t="shared" si="7"/>
        <v>479992</v>
      </c>
      <c r="P10" s="412">
        <f>SUM(P6:P9)</f>
        <v>13399671</v>
      </c>
      <c r="Q10" s="412">
        <f t="shared" ref="Q10:R10" si="8">SUM(Q6:Q9)</f>
        <v>13391235</v>
      </c>
      <c r="R10" s="412">
        <f t="shared" si="8"/>
        <v>13028283</v>
      </c>
      <c r="S10" s="424"/>
      <c r="T10" s="425"/>
      <c r="U10" s="425"/>
      <c r="V10" s="425"/>
      <c r="W10" s="426"/>
      <c r="X10" s="413">
        <f t="shared" si="1"/>
        <v>13028283</v>
      </c>
    </row>
    <row r="13" spans="1:28">
      <c r="R13" s="319"/>
    </row>
    <row r="14" spans="1:28">
      <c r="R14" s="319"/>
    </row>
  </sheetData>
  <mergeCells count="16">
    <mergeCell ref="A1:A3"/>
    <mergeCell ref="A4:A5"/>
    <mergeCell ref="B4:B5"/>
    <mergeCell ref="C4:C5"/>
    <mergeCell ref="D4:F4"/>
    <mergeCell ref="B1:X1"/>
    <mergeCell ref="B2:X2"/>
    <mergeCell ref="B3:W3"/>
    <mergeCell ref="A10:C10"/>
    <mergeCell ref="S10:W10"/>
    <mergeCell ref="P4:S4"/>
    <mergeCell ref="T4:W4"/>
    <mergeCell ref="X4:X5"/>
    <mergeCell ref="M4:O4"/>
    <mergeCell ref="G4:I4"/>
    <mergeCell ref="J4:L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99a629e-b1ab-433e-a7e5-e76d89fd4265" xsi:nil="true"/>
    <fecha xmlns="b09d833b-118b-4c0e-a4e0-47accb4727ed" xsi:nil="true"/>
    <_ip_UnifiedCompliancePolicyProperties xmlns="http://schemas.microsoft.com/sharepoint/v3" xsi:nil="true"/>
    <FIRMADO xmlns="b09d833b-118b-4c0e-a4e0-47accb4727ed">false</FIRMADO>
    <lcf76f155ced4ddcb4097134ff3c332f xmlns="b09d833b-118b-4c0e-a4e0-47accb4727e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B5918975D9CD4A815CF9A8484D0A59" ma:contentTypeVersion="21" ma:contentTypeDescription="Crear nuevo documento." ma:contentTypeScope="" ma:versionID="8cc16c713545be319b46a8a502151382">
  <xsd:schema xmlns:xsd="http://www.w3.org/2001/XMLSchema" xmlns:xs="http://www.w3.org/2001/XMLSchema" xmlns:p="http://schemas.microsoft.com/office/2006/metadata/properties" xmlns:ns1="http://schemas.microsoft.com/sharepoint/v3" xmlns:ns2="b09d833b-118b-4c0e-a4e0-47accb4727ed" xmlns:ns3="699a629e-b1ab-433e-a7e5-e76d89fd4265" targetNamespace="http://schemas.microsoft.com/office/2006/metadata/properties" ma:root="true" ma:fieldsID="e7324db0c46e5e5c02ab799add0644a7" ns1:_="" ns2:_="" ns3:_="">
    <xsd:import namespace="http://schemas.microsoft.com/sharepoint/v3"/>
    <xsd:import namespace="b09d833b-118b-4c0e-a4e0-47accb4727ed"/>
    <xsd:import namespace="699a629e-b1ab-433e-a7e5-e76d89fd42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FIRMADO" minOccurs="0"/>
                <xsd:element ref="ns1:_ip_UnifiedCompliancePolicyProperties" minOccurs="0"/>
                <xsd:element ref="ns1:_ip_UnifiedCompliancePolicyUIAction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9d833b-118b-4c0e-a4e0-47accb472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674c45be-ea38-4724-9e42-a2e31b90b4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IRMADO" ma:index="25" nillable="true" ma:displayName="FIRMADO" ma:default="0" ma:description="COLOCAR UNA VEZ ESTE FIRMADO" ma:format="Dropdown" ma:internalName="FIRMADO">
      <xsd:simpleType>
        <xsd:restriction base="dms:Boolean"/>
      </xsd:simpleType>
    </xsd:element>
    <xsd:element name="fecha" ma:index="28" nillable="true" ma:displayName="fecha 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9a629e-b1ab-433e-a7e5-e76d89fd426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Columna global de taxonomía" ma:hidden="true" ma:list="{fe3e7145-9d06-4ac8-bb46-9d6f385b1959}" ma:internalName="TaxCatchAll" ma:showField="CatchAllData" ma:web="699a629e-b1ab-433e-a7e5-e76d89fd42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EE0A0F-36AF-4292-BB6D-AED5F756AA71}"/>
</file>

<file path=customXml/itemProps2.xml><?xml version="1.0" encoding="utf-8"?>
<ds:datastoreItem xmlns:ds="http://schemas.openxmlformats.org/officeDocument/2006/customXml" ds:itemID="{5CB2C9A1-EA16-48BE-953B-2806FB107B9A}"/>
</file>

<file path=customXml/itemProps3.xml><?xml version="1.0" encoding="utf-8"?>
<ds:datastoreItem xmlns:ds="http://schemas.openxmlformats.org/officeDocument/2006/customXml" ds:itemID="{9BC70A90-473B-4810-95F8-E6D2F046FE55}"/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Catalina Avila</dc:creator>
  <cp:keywords/>
  <dc:description/>
  <cp:lastModifiedBy>Francy Margoth Marroquin Triana</cp:lastModifiedBy>
  <cp:revision/>
  <dcterms:created xsi:type="dcterms:W3CDTF">2025-12-04T15:29:46Z</dcterms:created>
  <dcterms:modified xsi:type="dcterms:W3CDTF">2026-06-15T20:00:53Z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0x0101005FB5918975D9CD4A815CF9A8484D0A59</vt:lpwstr>
  </property>
  <property fmtid="{D5CDD505-2E9C-101B-9397-08002B2CF9AE}" pid="3" name="MediaServiceImageTags">
    <vt:lpwstr/>
  </property>
</Properties>
</file>