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Lucy.Colmenares\Downloads\"/>
    </mc:Choice>
  </mc:AlternateContent>
  <xr:revisionPtr revIDLastSave="0" documentId="8_{34299633-9195-433B-9CB8-271D736055E7}" xr6:coauthVersionLast="47" xr6:coauthVersionMax="47" xr10:uidLastSave="{00000000-0000-0000-0000-000000000000}"/>
  <bookViews>
    <workbookView xWindow="-120" yWindow="-120" windowWidth="29040" windowHeight="15720" xr2:uid="{C41494C6-675D-4A67-A527-FC5609AB0C91}"/>
  </bookViews>
  <sheets>
    <sheet name="BASE" sheetId="1" r:id="rId1"/>
    <sheet name="Hoja1" sheetId="2" r:id="rId2"/>
  </sheets>
  <definedNames>
    <definedName name="_xlnm._FilterDatabase" localSheetId="0" hidden="1">BASE!$A$1:$AZ$43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21" i="1" l="1"/>
  <c r="N34" i="1"/>
  <c r="AA34" i="1"/>
  <c r="AB34" i="1" s="1"/>
  <c r="AC34" i="1"/>
  <c r="AE34" i="1"/>
  <c r="H35" i="1"/>
  <c r="AB35" i="1"/>
  <c r="AC35" i="1" s="1"/>
  <c r="AD35" i="1" s="1"/>
  <c r="AT35" i="1"/>
  <c r="AG36" i="1"/>
  <c r="AH36" i="1" s="1"/>
  <c r="H37" i="1"/>
  <c r="AG37" i="1"/>
  <c r="AI37" i="1"/>
  <c r="AI38" i="1" s="1"/>
  <c r="AS37" i="1"/>
  <c r="AS38" i="1" s="1"/>
  <c r="AT37" i="1"/>
  <c r="W38" i="1"/>
  <c r="AC38" i="1"/>
  <c r="AD38" i="1"/>
  <c r="AH38" i="1"/>
  <c r="AT38" i="1"/>
  <c r="AC39" i="1"/>
  <c r="AC40" i="1" s="1"/>
  <c r="AC41" i="1" s="1"/>
  <c r="AD39" i="1"/>
  <c r="AF41" i="1" s="1"/>
  <c r="AF43" i="1" s="1"/>
  <c r="T51" i="1"/>
  <c r="AS51" i="1"/>
  <c r="T52" i="1"/>
  <c r="AS7" i="1"/>
  <c r="AS27" i="1"/>
  <c r="AG12" i="1"/>
  <c r="AL27" i="1"/>
  <c r="AU17" i="1"/>
  <c r="AU18" i="1"/>
  <c r="AU21" i="1"/>
  <c r="AU22" i="1"/>
  <c r="AU23" i="1"/>
  <c r="AU24" i="1"/>
  <c r="AU16" i="1"/>
  <c r="AU12" i="1"/>
  <c r="AU11" i="1"/>
  <c r="AU5" i="1"/>
  <c r="AU4" i="1"/>
  <c r="AL32" i="1"/>
  <c r="AL31" i="1"/>
  <c r="AO13" i="1"/>
  <c r="AO19" i="1"/>
  <c r="AO25" i="1"/>
  <c r="AO29" i="1"/>
  <c r="AH32" i="1"/>
  <c r="AH31" i="1"/>
  <c r="AI27" i="1"/>
  <c r="AJ37" i="1" s="1"/>
  <c r="AL22" i="1"/>
  <c r="AL16" i="1"/>
  <c r="AI22" i="1"/>
  <c r="AI16" i="1"/>
  <c r="AI10" i="1"/>
  <c r="AI4" i="1"/>
  <c r="AG22" i="1"/>
  <c r="AH22" i="1" s="1"/>
  <c r="AG16" i="1"/>
  <c r="AH16" i="1" s="1"/>
  <c r="AG10" i="1"/>
  <c r="AG4" i="1"/>
  <c r="AH4" i="1" s="1"/>
  <c r="AL10" i="1"/>
  <c r="AL4" i="1"/>
  <c r="AJ22" i="1"/>
  <c r="AK22" i="1" s="1"/>
  <c r="AJ16" i="1"/>
  <c r="AK16" i="1" s="1"/>
  <c r="AJ10" i="1"/>
  <c r="AK10" i="1" s="1"/>
  <c r="AJ4" i="1"/>
  <c r="AK4" i="1" s="1"/>
  <c r="H27" i="1"/>
  <c r="W31" i="1"/>
  <c r="H31" i="1"/>
  <c r="AU9" i="1"/>
  <c r="H32" i="1"/>
  <c r="AS32" i="1" s="1"/>
  <c r="AI32" i="1"/>
  <c r="AK32" i="1"/>
  <c r="AJ32" i="1"/>
  <c r="AO32" i="1" s="1"/>
  <c r="AG32" i="1"/>
  <c r="AG31" i="1"/>
  <c r="W32" i="1"/>
  <c r="AS10" i="1"/>
  <c r="AS6" i="1"/>
  <c r="AL8" i="1"/>
  <c r="AL2" i="1"/>
  <c r="AJ23" i="1"/>
  <c r="AK23" i="1" s="1"/>
  <c r="AL23" i="1" s="1"/>
  <c r="AJ17" i="1"/>
  <c r="AK17" i="1" s="1"/>
  <c r="AL17" i="1" s="1"/>
  <c r="AJ11" i="1"/>
  <c r="AK11" i="1" s="1"/>
  <c r="AL11" i="1" s="1"/>
  <c r="AI5" i="1"/>
  <c r="AJ5" i="1"/>
  <c r="AK5" i="1" s="1"/>
  <c r="AL5" i="1" s="1"/>
  <c r="AI23" i="1"/>
  <c r="AI17" i="1"/>
  <c r="AI11" i="1"/>
  <c r="AU3" i="1"/>
  <c r="AS20" i="1"/>
  <c r="AU20" i="1" s="1"/>
  <c r="AS14" i="1"/>
  <c r="AU14" i="1" s="1"/>
  <c r="AS8" i="1"/>
  <c r="AU8" i="1" s="1"/>
  <c r="AK20" i="1"/>
  <c r="AJ20" i="1"/>
  <c r="AI20" i="1"/>
  <c r="AO20" i="1" s="1"/>
  <c r="AK14" i="1"/>
  <c r="AJ14" i="1"/>
  <c r="AI14" i="1"/>
  <c r="AK8" i="1"/>
  <c r="AJ8" i="1"/>
  <c r="AI8" i="1"/>
  <c r="AS2" i="1"/>
  <c r="AU2" i="1" s="1"/>
  <c r="AK2" i="1"/>
  <c r="AJ2" i="1"/>
  <c r="AI2" i="1"/>
  <c r="AS30" i="1"/>
  <c r="AS33" i="1"/>
  <c r="AS28" i="1"/>
  <c r="AS26" i="1"/>
  <c r="AS15" i="1"/>
  <c r="AA35" i="1" l="1"/>
  <c r="AO17" i="1"/>
  <c r="AO23" i="1"/>
  <c r="AL36" i="1"/>
  <c r="AI36" i="1"/>
  <c r="AJ36" i="1" s="1"/>
  <c r="AO11" i="1"/>
  <c r="AI12" i="1"/>
  <c r="AH12" i="1"/>
  <c r="AT27" i="1"/>
  <c r="AV27" i="1" s="1"/>
  <c r="AO27" i="1"/>
  <c r="AT31" i="1"/>
  <c r="AT32" i="1"/>
  <c r="AT34" i="1" s="1"/>
  <c r="AO16" i="1"/>
  <c r="AO22" i="1"/>
  <c r="AO5" i="1"/>
  <c r="AO10" i="1"/>
  <c r="AO2" i="1"/>
  <c r="AO8" i="1"/>
  <c r="AP8" i="1" s="1"/>
  <c r="AP32" i="1"/>
  <c r="AO14" i="1"/>
  <c r="AP14" i="1" s="1"/>
  <c r="AO4" i="1"/>
  <c r="AP20" i="1"/>
  <c r="AS31" i="1"/>
  <c r="AU31" i="1" s="1"/>
  <c r="AH10" i="1"/>
  <c r="AT10" i="1"/>
  <c r="AU10" i="1" s="1"/>
  <c r="AP2" i="1"/>
  <c r="AU32" i="1" l="1"/>
  <c r="AU27" i="1"/>
  <c r="AI31" i="1"/>
  <c r="AO31" i="1" s="1"/>
  <c r="AP31" i="1" s="1"/>
  <c r="AS13" i="1"/>
  <c r="AU13" i="1" s="1"/>
  <c r="AS19" i="1"/>
  <c r="AU19" i="1" s="1"/>
  <c r="AS25" i="1"/>
  <c r="AU25" i="1" s="1"/>
  <c r="AS29" i="1"/>
  <c r="AT29" i="1"/>
  <c r="AU29" i="1" l="1"/>
  <c r="AJ18" i="1"/>
  <c r="AK30" i="1"/>
  <c r="AO30" i="1" s="1"/>
  <c r="AL24" i="1"/>
  <c r="AJ24" i="1"/>
  <c r="AL12" i="1"/>
  <c r="AO12" i="1" s="1"/>
  <c r="AL6" i="1"/>
  <c r="AK6" i="1"/>
  <c r="AO6" i="1" s="1"/>
  <c r="AI21" i="1"/>
  <c r="AK21" i="1"/>
  <c r="AL21" i="1"/>
  <c r="AI9" i="1"/>
  <c r="AJ9" i="1"/>
  <c r="AK9" i="1" s="1"/>
  <c r="AL9" i="1"/>
  <c r="AL3" i="1"/>
  <c r="AJ3" i="1"/>
  <c r="AK3" i="1" s="1"/>
  <c r="AI3" i="1"/>
  <c r="N3" i="1"/>
  <c r="N4" i="1"/>
  <c r="N5" i="1"/>
  <c r="N6" i="1"/>
  <c r="N7" i="1"/>
  <c r="Q7" i="1" s="1"/>
  <c r="N8" i="1"/>
  <c r="N9" i="1"/>
  <c r="N10" i="1"/>
  <c r="N11" i="1"/>
  <c r="N12" i="1"/>
  <c r="N13" i="1"/>
  <c r="N14" i="1"/>
  <c r="N15" i="1"/>
  <c r="Q15" i="1" s="1"/>
  <c r="N16" i="1"/>
  <c r="N17" i="1"/>
  <c r="N18" i="1"/>
  <c r="N19" i="1"/>
  <c r="N20" i="1"/>
  <c r="N21" i="1"/>
  <c r="N22" i="1"/>
  <c r="N23" i="1"/>
  <c r="N24" i="1"/>
  <c r="N25" i="1"/>
  <c r="N26" i="1"/>
  <c r="Q26" i="1" s="1"/>
  <c r="N28" i="1"/>
  <c r="Q28" i="1" s="1"/>
  <c r="N29" i="1"/>
  <c r="N30" i="1"/>
  <c r="N33" i="1"/>
  <c r="Q33" i="1" s="1"/>
  <c r="N2" i="1"/>
  <c r="AO3" i="1" l="1"/>
  <c r="AO21" i="1"/>
  <c r="AO9" i="1"/>
  <c r="AK24" i="1"/>
  <c r="AO24" i="1" s="1"/>
  <c r="AK18" i="1"/>
  <c r="AO18" i="1" s="1"/>
  <c r="AT6" i="1"/>
  <c r="AU6" i="1" s="1"/>
  <c r="AT30" i="1"/>
  <c r="AU30" i="1" s="1"/>
  <c r="AG7" i="1"/>
  <c r="AL7" i="1"/>
  <c r="AJ7" i="1"/>
  <c r="AK7" i="1" s="1"/>
  <c r="AI7" i="1"/>
  <c r="AG15" i="1"/>
  <c r="AI15" i="1"/>
  <c r="AL15" i="1"/>
  <c r="AJ15" i="1"/>
  <c r="AK15" i="1" s="1"/>
  <c r="AG26" i="1"/>
  <c r="AI26" i="1"/>
  <c r="AJ26" i="1"/>
  <c r="AK26" i="1" s="1"/>
  <c r="AL26" i="1"/>
  <c r="AA28" i="1"/>
  <c r="AB28" i="1"/>
  <c r="AG28" i="1"/>
  <c r="AH28" i="1" s="1"/>
  <c r="AI28" i="1"/>
  <c r="AL28" i="1"/>
  <c r="AJ28" i="1"/>
  <c r="AK28" i="1" s="1"/>
  <c r="AA33" i="1"/>
  <c r="AI33" i="1"/>
  <c r="AL33" i="1"/>
  <c r="AJ33" i="1"/>
  <c r="AK33" i="1" s="1"/>
  <c r="AG33" i="1"/>
  <c r="AH33" i="1" s="1"/>
  <c r="AO33" i="1" l="1"/>
  <c r="AO28" i="1"/>
  <c r="AO26" i="1"/>
  <c r="AH15" i="1"/>
  <c r="AO15" i="1"/>
  <c r="AH7" i="1"/>
  <c r="AO7" i="1"/>
  <c r="AO45" i="1" s="1"/>
  <c r="AT33" i="1"/>
  <c r="AU33" i="1" s="1"/>
  <c r="AP6" i="1"/>
  <c r="AT7" i="1"/>
  <c r="AU7" i="1" s="1"/>
  <c r="AT26" i="1"/>
  <c r="AU26" i="1" s="1"/>
  <c r="AT28" i="1"/>
  <c r="AU28" i="1" s="1"/>
  <c r="AT15" i="1"/>
  <c r="AU15" i="1" s="1"/>
</calcChain>
</file>

<file path=xl/sharedStrings.xml><?xml version="1.0" encoding="utf-8"?>
<sst xmlns="http://schemas.openxmlformats.org/spreadsheetml/2006/main" count="482" uniqueCount="185">
  <si>
    <t>DEPENDENCIA</t>
  </si>
  <si>
    <t>ITEM</t>
  </si>
  <si>
    <t>No. CTO SECOP</t>
  </si>
  <si>
    <t>CONTRATISTA</t>
  </si>
  <si>
    <t>No DE IDENTIFICACION</t>
  </si>
  <si>
    <t xml:space="preserve">FECHA INICIO </t>
  </si>
  <si>
    <t>FECHA FIN</t>
  </si>
  <si>
    <t>VALOR CONTRATADO</t>
  </si>
  <si>
    <t>EL CONTRATO PRESENTA SUSPENSIÓN?</t>
  </si>
  <si>
    <t>FECHA INICIO SUSPENSIÓN CONTRATO?</t>
  </si>
  <si>
    <t>FECHA FIN SUSPENSIÓN CONTRATO?</t>
  </si>
  <si>
    <t>DIAS SUSPENSIÓN</t>
  </si>
  <si>
    <t>EL CONTRATO PRESENTA CESION?</t>
  </si>
  <si>
    <t>VALOR MENSUALIDAD SIN IVA</t>
  </si>
  <si>
    <t>IVA
S/N</t>
  </si>
  <si>
    <t>VALOR IVA</t>
  </si>
  <si>
    <t>VALOR MENSUALIDAD CON IVA</t>
  </si>
  <si>
    <t>No. CDP</t>
  </si>
  <si>
    <t>FECHA CDP</t>
  </si>
  <si>
    <t>VALOR CDP</t>
  </si>
  <si>
    <t xml:space="preserve">No. RP </t>
  </si>
  <si>
    <t>FECHA RP</t>
  </si>
  <si>
    <t>VALOR RP</t>
  </si>
  <si>
    <t>FECHA CORTE ENERO/FEBRERO/MARZO</t>
  </si>
  <si>
    <t>DIAS PRIMER MES</t>
  </si>
  <si>
    <t>DIAS ULTIMO MES</t>
  </si>
  <si>
    <t>VALOR PAGADO ENERO</t>
  </si>
  <si>
    <t>VALOR PAGADO FEBRERO</t>
  </si>
  <si>
    <t>VALOR PAGADO MARZO</t>
  </si>
  <si>
    <t>VALOR PAGADO ABRIL</t>
  </si>
  <si>
    <t>VALOR PAGADO MAYO</t>
  </si>
  <si>
    <t>VALOR PAGADO JUNIO</t>
  </si>
  <si>
    <t>VALOR PROYECTADO JULIO</t>
  </si>
  <si>
    <t>VALOR PROYECTADO AL MES DE CORTE</t>
  </si>
  <si>
    <t>VALOR ADICON PROYECTADO JULIO</t>
  </si>
  <si>
    <t xml:space="preserve">VALOR PROYECTADO AGOSTO </t>
  </si>
  <si>
    <t>VALOR PROYECTADO SEPTIEMBRE</t>
  </si>
  <si>
    <t>VALOR PROYECTADO OCTUBRE</t>
  </si>
  <si>
    <t>VALOR PROYECTADO NOVIEMBRE</t>
  </si>
  <si>
    <t>VALOR PROYECTADO DICIEMBRE</t>
  </si>
  <si>
    <t>TOTAL VALOR PROYECTADO A EJECUTAR DEL CONTRATO</t>
  </si>
  <si>
    <t>VALIDACION CON RESPECTO AL VALOR A EJECUTAR 
 (VALOR A LIBERAR)</t>
  </si>
  <si>
    <t>TIEMPO DE LA PRORROGA</t>
  </si>
  <si>
    <t>FECHA A LA QUE SE PRORROGA EL CONTRATO</t>
  </si>
  <si>
    <t>valor 50% del contrato</t>
  </si>
  <si>
    <t>VALOR PROYECCION PRORROGA</t>
  </si>
  <si>
    <t>¿ El valor a adicionar es  mayor o igual que el 50 % del contrato?</t>
  </si>
  <si>
    <t>VALOR PROYECCION PRORROGA CON 2 DECIMALES</t>
  </si>
  <si>
    <t>OBJETO CONTRATO</t>
  </si>
  <si>
    <t>ID-PAA</t>
  </si>
  <si>
    <t>DIRECCIÓN DE OTRAS PRESTACIONES</t>
  </si>
  <si>
    <t>ADRES-CPS-705-2026</t>
  </si>
  <si>
    <t>SANDRA CAROLINA SILVA PUERTO</t>
  </si>
  <si>
    <t>N/A</t>
  </si>
  <si>
    <t>N</t>
  </si>
  <si>
    <t xml:space="preserve">3 meses </t>
  </si>
  <si>
    <t>Prestar servicios profesionales especializados como médico auditor a la Dirección de Otras Prestaciones de la ADRES, para el desarrollo de los procesos de revisión, análisis, verificación y control de las cuentas médicas presentadas por las Entidades, realizando la verificación de la pertinencia, coherencia y justificación médico-científica de los servicios y tecnologías auditadas, correspondientes a solicitudes relacionadas con servicios y tecnologías en salud no financiadas con cargo a la UPC o con presupuestos máximos y/o servicios complementarios, de igual forma, reclamaciones por servicios médicos, indemnizaciones y gastos derivados de accidentes de tránsito ocasionados por vehículos sin identificar, sin SOAT o con póliza SOAT a tarifa diferencial por riesgo, eventos catastróficos de origen natural, eventos terroristas y demás eventos aprobados por el Ministerio de Salud y Protección Social. Así mismo, ejecutar actividades de auditoría concurrente, retrospectiva y/o de campo a las IPS que presentan reclamaciones a la ADRES por los servicios de salud prestados a las víctimas de los eventos a cargo de la Dirección de Otras Prestaciones, conforme a la normativa y manuales vigentes, y participar en el proceso de reintegro de recursos apropiados o reconocidos sin justa causa.</t>
  </si>
  <si>
    <t>ID-147-DOP</t>
  </si>
  <si>
    <t>Sin observaciones</t>
  </si>
  <si>
    <t>ADRES-CPS-706-2026</t>
  </si>
  <si>
    <t>MONICA IVONN VELASQUEZ</t>
  </si>
  <si>
    <t>SI</t>
  </si>
  <si>
    <t>ID-148-DOP</t>
  </si>
  <si>
    <t>OBSERVACION EN EL NUMERO DE RP DE LA CESION DEJAN EL RP INICIAL</t>
  </si>
  <si>
    <t>ADRES-CPS-707-2026</t>
  </si>
  <si>
    <t>LUIS MANUEL URIBE GARCIA</t>
  </si>
  <si>
    <t>ID-149-DOP</t>
  </si>
  <si>
    <t>Revisado ok dgs</t>
  </si>
  <si>
    <t>ADRES-CPS-708-2026</t>
  </si>
  <si>
    <t>REGINA PASTRANA BARRERO</t>
  </si>
  <si>
    <t>ID-150-DOP</t>
  </si>
  <si>
    <t>ok</t>
  </si>
  <si>
    <t>ADRES-CPS-709-2026</t>
  </si>
  <si>
    <t>SANTIAGO ROMERO BARGANS</t>
  </si>
  <si>
    <t>ID-151-DOP</t>
  </si>
  <si>
    <t xml:space="preserve">ADRES-CPS-709-2026_validado formato de solicitud de CDP_LDPQ </t>
  </si>
  <si>
    <t>ADRES-CPS-710-2026</t>
  </si>
  <si>
    <t>DUVAN JAVIER RODRIGUEZ RODRIGUEZ</t>
  </si>
  <si>
    <t>ID-153-DOP</t>
  </si>
  <si>
    <t>la fecha del CDP no corresponde con la relacionada en la base, En la solicitud del CDP sedebe ajustar el objeto y la justificación.</t>
  </si>
  <si>
    <t>ADRES-CPS-711-2026</t>
  </si>
  <si>
    <t>PAULA ANDREA CRUZ VARGAS</t>
  </si>
  <si>
    <t>29/01/2026 </t>
  </si>
  <si>
    <t>ID-154-DOP</t>
  </si>
  <si>
    <t>ADRES-CPS-760-2026</t>
  </si>
  <si>
    <t>JESSICA NATALIA COBOS JOYA</t>
  </si>
  <si>
    <t>Prestar servicios profesionales a la Dirección de Otras Prestaciones de la ADRES para el desarrollo de los procesos de revisión, verificación y control de las cuentas médicas presentadas por las Entidades, mediante el análisis, validación documental y verificación de la concordancia entre la prestación, el diagnóstico y el cobro de los servicios y tecnologías auditadas, correspondientes a solicitudes relacionadas con servicios y tecnologías en salud no financiadas con cargo a la UPC o con presupuestos máximos y/o servicios complementarios, de igual forma, reclamaciones por servicios médicos, indemnizaciones y gastos derivados de accidentes de tránsito ocasionados por vehículos sin identificar, sin SOAT o con póliza SOAT a tarifa diferencial por riesgo, eventos catastróficos de origen natural, eventos terroristas y demás eventos aprobados por el Ministerio de Salud y Protección Social; todo ello conforme a la normativa y manuales vigentes, y al proceso de reintegro de recursos apropiados o reconocidos sin justa causa. Así mismo, desarrollar actividades de auditoría concurrente, retrospectiva y/o de campo a las IPS que presentan reclamaciones a la ADRES por la atención a víctimas de los eventos a cargo de la Dirección de Otras Prestaciones.</t>
  </si>
  <si>
    <t>ID-155-DOP</t>
  </si>
  <si>
    <t>ADRES-CPS-761-2026</t>
  </si>
  <si>
    <t>LEIDY DAYANA TORRES SANCHEZ</t>
  </si>
  <si>
    <t>ID-156-DOP</t>
  </si>
  <si>
    <t>ADRES-CPS-762-2026</t>
  </si>
  <si>
    <t>NIEDY ALEIDA LAGOS SANCHEZ</t>
  </si>
  <si>
    <t>ID-157-DOP</t>
  </si>
  <si>
    <t>ADRES-CPS-763-2026</t>
  </si>
  <si>
    <t>DIANA CAROLINA TOVAR HERNANDEZ</t>
  </si>
  <si>
    <t>ID-158-DOP</t>
  </si>
  <si>
    <t>ADRES-CPS-764-2026</t>
  </si>
  <si>
    <t>EDNA LUCIA CHILATRA ORTIZ</t>
  </si>
  <si>
    <t>ID-159-DOP</t>
  </si>
  <si>
    <t>ADRES-CPS-765-2026</t>
  </si>
  <si>
    <t>DIANA JAZMIN PLAZAS CHAPARRO</t>
  </si>
  <si>
    <t>ID-160-DOP</t>
  </si>
  <si>
    <t xml:space="preserve">Sin observaciones base Aminta / validado formato de solicitud de CDP_LDPQ </t>
  </si>
  <si>
    <t>ADRES-CPS-325-2026</t>
  </si>
  <si>
    <t>MERLYS DEL CARMEN FREAY MENDOZA</t>
  </si>
  <si>
    <t>Prestar servicios profesionales a la Dirección de Otras Prestaciones de la ADRES apoyando las actividades relacionadas con los procesos de reconocimiento y pago de servicios y tecnologías en salud no financiadas con la UPC o con presupuestos máximos y/o servicios complementarios, reclamaciones de servicios médicos, indemnizaciones y gastos derivados de accidentes de tránsito ocasionados por vehículos sin identificar o sin SOAT o con póliza SOAT a tarifa diferencial por riesgo, eventos catastróficos de origen natural, eventos terroristas y demás eventos aprobados por el Ministerio de Salud y Protección Social; lo anterior, conforme a lo establecido en la normativa y manuales vigentes</t>
  </si>
  <si>
    <t>ID-164-DOP</t>
  </si>
  <si>
    <t>En la solicitud del CDP sedebe ajustar el objeto y la justificación.</t>
  </si>
  <si>
    <t>ADRES-CPS-326-2026</t>
  </si>
  <si>
    <t>ADRIANA ROCIO ESPINDOLA ROMERO</t>
  </si>
  <si>
    <t>ID-165-DOP</t>
  </si>
  <si>
    <t>ADRES-CPS-327-2026</t>
  </si>
  <si>
    <t>VIVIANA ANDREA CORREA JIMENEZ</t>
  </si>
  <si>
    <t>ID-166-DOP</t>
  </si>
  <si>
    <t>ADRES-CPS-328-2026</t>
  </si>
  <si>
    <t>KAREN YURANY ESPITIA BONILLA</t>
  </si>
  <si>
    <t>ID-167-DOP</t>
  </si>
  <si>
    <t>ADRES-CPS-335-2026</t>
  </si>
  <si>
    <t>JOSE HUMBERTO RINCON CARO</t>
  </si>
  <si>
    <t xml:space="preserve">Prestar apoyo a la Dirección de Otras Prestaciones de la ADRES en las actividades relacionadas con los procesos de reconocimiento y pago de servicios y tecnologías en salud no financiadas con la UPC o con presupuestos máximos y/o servicios complementarios, reclamaciones de servicios médicos, indemnizaciones y gastos derivados de accidentes de tránsito ocasionados por vehículos sin identificar o sin SOAT o con póliza SOAT a tarifa diferencial por riesgo, eventos catastróficos de origen natural, eventos terroristas y demás eventos aprobados por el Ministerio de Salud y Protección Social; lo anterior, conforme a lo establecido en la normativa y manuales vigentes. </t>
  </si>
  <si>
    <t>ID-168-DOP</t>
  </si>
  <si>
    <t>ADRES-CPS-336-2026</t>
  </si>
  <si>
    <t>LUCIA ALEJANDRA BERMUDEZ BELTRAN</t>
  </si>
  <si>
    <t>ID-169-DOP</t>
  </si>
  <si>
    <t>ADRES-CPS-337-2026</t>
  </si>
  <si>
    <t xml:space="preserve">FABIAN LEONARDO MORALES ARÉVALO </t>
  </si>
  <si>
    <t>ID-170-DOP</t>
  </si>
  <si>
    <t>ADRES-CPS-338-2026</t>
  </si>
  <si>
    <t>MARGARITA GARCIA ESTRADA</t>
  </si>
  <si>
    <t>ID-171-DOP</t>
  </si>
  <si>
    <t>ADRES-CPS-339-2026</t>
  </si>
  <si>
    <t>JENNY MARCELA MORENO</t>
  </si>
  <si>
    <t>ID-172-DOP</t>
  </si>
  <si>
    <t>ADRES-CPS-340-2026</t>
  </si>
  <si>
    <t>CLAUDIA PATRICIA ROMERO MARTINEZ</t>
  </si>
  <si>
    <t>ID-173-DOP</t>
  </si>
  <si>
    <t>ADRES-CPS-341-2026</t>
  </si>
  <si>
    <t>YENNI MARCELA CASAS DIAZ</t>
  </si>
  <si>
    <t>ID-174-DOP</t>
  </si>
  <si>
    <t>ADRES-CPS-342-2026</t>
  </si>
  <si>
    <t>ELIZABETH  APONTE APONTE</t>
  </si>
  <si>
    <t>ID-175-DOP</t>
  </si>
  <si>
    <t>ADRES-CPS-319-2026</t>
  </si>
  <si>
    <t>JULIETH NATALIA GUERRERO MARTINEZ</t>
  </si>
  <si>
    <t>1070965747 </t>
  </si>
  <si>
    <t>ID-176-DOP</t>
  </si>
  <si>
    <t>ADRES-CPS-766-2026</t>
  </si>
  <si>
    <t>JULLY PAOLA TORRES MOLANO</t>
  </si>
  <si>
    <t>ID-177-DOP</t>
  </si>
  <si>
    <t>ADRES-CPS-767-2026</t>
  </si>
  <si>
    <t>LEIDY JULIETH NEIRA HINCAPIE</t>
  </si>
  <si>
    <t>ID-178-DOP</t>
  </si>
  <si>
    <t>ok (no tiene nombre en Vo. Bo.)</t>
  </si>
  <si>
    <t>ADRES-CPS-313-2026</t>
  </si>
  <si>
    <t>JUAN PABLO ROJAS HERNANDEZ</t>
  </si>
  <si>
    <t xml:space="preserve">Prestar los servicios a la Dirección de Otras Prestaciones de la ADRES apoyando la ejecución de las actividades relacionadas con la estructuración y supervisión de los contratos de personas naturales suscritos por la Entidad en el marco de los procesos de reconocimiento y pago de servicios y tecnologías en salud no financiadas con la UPC o con presupuestos máximos, reclamaciones de servicios médicos, indemnizaciones y gastos derivados de accidentes de tránsito ocasionados por vehículos sin identificar o sin SOAT, eventos catastróficos de origen natural, eventos terroristas y demás eventos aprobados por el Ministerio de Salud y Protección Social, y demás necesidades que se requieran para el DOP </t>
  </si>
  <si>
    <t>ID-261-DOP</t>
  </si>
  <si>
    <t xml:space="preserve"> ADRES-CPS-313-2026_ validado formato de solicitud de CDP_LDPQ </t>
  </si>
  <si>
    <t>ADRES-CPS-302-2026</t>
  </si>
  <si>
    <t xml:space="preserve">LEONARDO ESTEBAN OMEARA </t>
  </si>
  <si>
    <t>Prestar servicios profesionales en la Dirección de Otras Prestaciones para apoyar las actividades que sean requeridas en los procesos de  soluciones tecnológicas que se necesiten en la operación y fortalecimiento de los procesos de la Dirección.</t>
  </si>
  <si>
    <t>ID-270-DOP</t>
  </si>
  <si>
    <t>*EL RP 306 tuvo una liberacion de $ 8 mil pesos 
*El valor del contrato en SECOP es de $34,880,770
* El valor proyectado para el ultimo pago no corresponde con el radicado  20264000018783 del 27 de febrero de 2026 donde se aclara el valor de este</t>
  </si>
  <si>
    <t>ADRES-CPS-303-2026</t>
  </si>
  <si>
    <t xml:space="preserve">FERNANDO JAVIER BERNAL TREJO </t>
  </si>
  <si>
    <t>Prestar servicios profesionales a la Dirección de Otras Prestaciones de la ADRES para la gestión, ejecución y entrega de la documentación técnica y administrativa de los proyectos de mejoramiento de la Dirección y auditoría de la cuentas no financiadas por la UPC o con presupuestos máximos, de acuerdo a la metodología PMI, SCRUM, PAA e institucional, lo anterior, conforme a lo establecido en la normativa y manuales vigente de la ADRES. ID-275-DOP.</t>
  </si>
  <si>
    <t>ID-271-DOP</t>
  </si>
  <si>
    <t xml:space="preserve">EL RP 522 tuvo una liberacion de $ 8 mil pesos 
El valor del contrato en SECOP es de $34,880,770
El valor proyectado para el ultimo pago no corresponde con el radicado  20264000018783 del 27 de febrero de 2026 donde se aclara el valor de este
</t>
  </si>
  <si>
    <t>ADRES-CPS-333-2026</t>
  </si>
  <si>
    <t>JHON ALEXANDER HERNANDEZ RODRIGUEZ</t>
  </si>
  <si>
    <t>11/01/226</t>
  </si>
  <si>
    <t>Prestar servicios profesionales especializados a la Dirección de Otras Prestaciones de la ADRES, para apoyar el desarrollo e implementación de proyectos misionales estratégicos orientados a la optimización, automatización y auditoría de las cuentas asociadas a los servicios y tecnologías en salud no financiadas con la UPC o con presupuestos máximos, enfocado en la integración, gestión y aseguramiento de la alta disponibilidad y calidad de la información, aplicando enfoques DataOps y MLOps en el marco de la arquitectura tecnológica
institucional y de acuerdo con los lineamientos, metodologías y estándares vigentes de la ADRES.</t>
  </si>
  <si>
    <t>ID-272-DOP</t>
  </si>
  <si>
    <t>JULIO</t>
  </si>
  <si>
    <t>AGOSTO</t>
  </si>
  <si>
    <t>SEPT</t>
  </si>
  <si>
    <t>OCT</t>
  </si>
  <si>
    <t>El Rp 448 tuvo una liberacion de $3 pesos El valor del contrato en el Secop es de $ 38.071.719. El valor proyectado para el ultimo pago no corresponde con el radicado  20264000018783 del 27 de febrero de 2026 donde se aclara el valor de este : Revisar el 50% de la adicion</t>
  </si>
  <si>
    <t>OBSERVACION DOP</t>
  </si>
  <si>
    <t>SE AJUSTA NUMERO RP, VALOR RP Y FECHA RP</t>
  </si>
  <si>
    <t>NO SE TRAMITARA CONTRATO TERMINADO EL 30/06/2026</t>
  </si>
  <si>
    <t>AJUSTADO</t>
  </si>
  <si>
    <t>NO SE TRAMITARA ADICIÓN</t>
  </si>
  <si>
    <t>OBSERVACION DAF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</si>
</sst>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C0A]d\-mmm\-yy;@"/>
    <numFmt numFmtId="165" formatCode="&quot;$&quot;#,##0.0"/>
    <numFmt numFmtId="166" formatCode="&quot;$&quot;\ #,##0.00"/>
    <numFmt numFmtId="167" formatCode="yyyy\-mm\-dd;@"/>
    <numFmt numFmtId="168" formatCode="_-* #,##0_-;\-* #,##0_-;_-* &quot;-&quot;??_-;_-@_-"/>
    <numFmt numFmtId="169" formatCode="&quot;$&quot;\ #,##0"/>
    <numFmt numFmtId="170" formatCode="_-* #,##0.0_-;\-* #,##0.0_-;_-* &quot;-&quot;??_-;_-@_-"/>
    <numFmt numFmtId="171" formatCode="_-* #,##0.000_-;\-* #,##0.000_-;_-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8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43" fontId="2" fillId="5" borderId="1" xfId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  <xf numFmtId="167" fontId="2" fillId="3" borderId="1" xfId="0" applyNumberFormat="1" applyFont="1" applyFill="1" applyBorder="1" applyAlignment="1">
      <alignment horizontal="center" vertical="center" wrapText="1"/>
    </xf>
    <xf numFmtId="168" fontId="2" fillId="3" borderId="1" xfId="1" applyNumberFormat="1" applyFont="1" applyFill="1" applyBorder="1" applyAlignment="1">
      <alignment horizontal="center" vertical="center" wrapText="1"/>
    </xf>
    <xf numFmtId="168" fontId="2" fillId="6" borderId="1" xfId="1" applyNumberFormat="1" applyFont="1" applyFill="1" applyBorder="1" applyAlignment="1">
      <alignment horizontal="center" vertical="center" wrapText="1"/>
    </xf>
    <xf numFmtId="168" fontId="2" fillId="8" borderId="1" xfId="1" applyNumberFormat="1" applyFont="1" applyFill="1" applyBorder="1" applyAlignment="1">
      <alignment horizontal="center" vertical="center" wrapText="1"/>
    </xf>
    <xf numFmtId="4" fontId="2" fillId="6" borderId="1" xfId="1" applyNumberFormat="1" applyFont="1" applyFill="1" applyBorder="1" applyAlignment="1">
      <alignment horizontal="center" vertical="center" wrapText="1"/>
    </xf>
    <xf numFmtId="168" fontId="2" fillId="7" borderId="1" xfId="1" applyNumberFormat="1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170" fontId="2" fillId="5" borderId="1" xfId="1" applyNumberFormat="1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43" fontId="2" fillId="2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8" fontId="2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43" fontId="2" fillId="0" borderId="0" xfId="1" applyFont="1" applyFill="1"/>
    <xf numFmtId="169" fontId="2" fillId="0" borderId="0" xfId="0" applyNumberFormat="1" applyFont="1"/>
    <xf numFmtId="8" fontId="2" fillId="0" borderId="0" xfId="0" applyNumberFormat="1" applyFont="1"/>
    <xf numFmtId="3" fontId="2" fillId="0" borderId="0" xfId="0" applyNumberFormat="1" applyFont="1"/>
    <xf numFmtId="170" fontId="2" fillId="0" borderId="0" xfId="0" applyNumberFormat="1" applyFont="1"/>
    <xf numFmtId="166" fontId="2" fillId="0" borderId="0" xfId="1" applyNumberFormat="1" applyFont="1" applyFill="1"/>
    <xf numFmtId="43" fontId="2" fillId="0" borderId="0" xfId="0" applyNumberFormat="1" applyFont="1"/>
    <xf numFmtId="43" fontId="2" fillId="0" borderId="0" xfId="1" applyFont="1"/>
    <xf numFmtId="4" fontId="2" fillId="0" borderId="0" xfId="0" applyNumberFormat="1" applyFont="1"/>
    <xf numFmtId="43" fontId="4" fillId="0" borderId="0" xfId="1" applyFont="1"/>
    <xf numFmtId="43" fontId="4" fillId="0" borderId="0" xfId="0" applyNumberFormat="1" applyFont="1"/>
    <xf numFmtId="170" fontId="4" fillId="0" borderId="0" xfId="0" applyNumberFormat="1" applyFont="1"/>
    <xf numFmtId="0" fontId="4" fillId="0" borderId="0" xfId="0" applyFont="1" applyAlignment="1">
      <alignment wrapText="1"/>
    </xf>
    <xf numFmtId="43" fontId="4" fillId="0" borderId="0" xfId="1" applyFont="1" applyFill="1"/>
    <xf numFmtId="0" fontId="4" fillId="5" borderId="0" xfId="0" applyFont="1" applyFill="1"/>
    <xf numFmtId="169" fontId="4" fillId="0" borderId="0" xfId="0" applyNumberFormat="1" applyFont="1"/>
    <xf numFmtId="8" fontId="4" fillId="0" borderId="0" xfId="0" applyNumberFormat="1" applyFont="1"/>
    <xf numFmtId="171" fontId="4" fillId="0" borderId="0" xfId="0" applyNumberFormat="1" applyFont="1"/>
    <xf numFmtId="44" fontId="2" fillId="0" borderId="1" xfId="2" applyFont="1" applyFill="1" applyBorder="1"/>
    <xf numFmtId="44" fontId="2" fillId="0" borderId="1" xfId="2" applyFont="1" applyFill="1" applyBorder="1" applyAlignment="1">
      <alignment horizontal="center" vertical="center"/>
    </xf>
    <xf numFmtId="44" fontId="2" fillId="0" borderId="1" xfId="2" applyFont="1" applyFill="1" applyBorder="1" applyProtection="1">
      <protection locked="0"/>
    </xf>
    <xf numFmtId="44" fontId="2" fillId="0" borderId="1" xfId="2" applyFont="1" applyFill="1" applyBorder="1" applyAlignment="1">
      <alignment horizontal="right"/>
    </xf>
    <xf numFmtId="44" fontId="2" fillId="0" borderId="1" xfId="2" applyFont="1" applyFill="1" applyBorder="1" applyAlignment="1">
      <alignment horizontal="center"/>
    </xf>
    <xf numFmtId="44" fontId="2" fillId="0" borderId="1" xfId="2" applyFont="1" applyFill="1" applyBorder="1" applyAlignment="1" applyProtection="1">
      <alignment horizontal="center"/>
      <protection locked="0"/>
    </xf>
    <xf numFmtId="44" fontId="2" fillId="0" borderId="1" xfId="2" applyFont="1" applyFill="1" applyBorder="1" applyAlignment="1">
      <alignment vertical="center"/>
    </xf>
    <xf numFmtId="44" fontId="2" fillId="0" borderId="1" xfId="2" applyFont="1" applyFill="1" applyBorder="1" applyAlignment="1">
      <alignment wrapText="1"/>
    </xf>
    <xf numFmtId="44" fontId="2" fillId="0" borderId="0" xfId="2" applyFont="1" applyFill="1"/>
    <xf numFmtId="44" fontId="2" fillId="0" borderId="0" xfId="2" applyFont="1" applyFill="1" applyAlignment="1">
      <alignment vertical="center"/>
    </xf>
    <xf numFmtId="44" fontId="2" fillId="0" borderId="1" xfId="2" applyFont="1" applyFill="1" applyBorder="1" applyAlignment="1">
      <alignment horizontal="center" vertical="top"/>
    </xf>
    <xf numFmtId="44" fontId="2" fillId="0" borderId="0" xfId="2" applyFont="1" applyFill="1" applyAlignment="1">
      <alignment wrapText="1"/>
    </xf>
    <xf numFmtId="44" fontId="4" fillId="0" borderId="0" xfId="2" applyFont="1" applyFill="1"/>
    <xf numFmtId="44" fontId="2" fillId="0" borderId="1" xfId="2" applyFont="1" applyFill="1" applyBorder="1" applyAlignment="1">
      <alignment vertical="top"/>
    </xf>
    <xf numFmtId="44" fontId="2" fillId="0" borderId="1" xfId="2" applyFont="1" applyFill="1" applyBorder="1" applyAlignment="1" applyProtection="1">
      <alignment vertical="top"/>
      <protection locked="0"/>
    </xf>
    <xf numFmtId="44" fontId="2" fillId="0" borderId="1" xfId="2" applyFont="1" applyFill="1" applyBorder="1" applyAlignment="1">
      <alignment horizontal="right" vertical="top"/>
    </xf>
    <xf numFmtId="44" fontId="2" fillId="0" borderId="1" xfId="2" applyFont="1" applyFill="1" applyBorder="1" applyAlignment="1" applyProtection="1">
      <alignment horizontal="center" vertical="top"/>
      <protection locked="0"/>
    </xf>
    <xf numFmtId="44" fontId="2" fillId="0" borderId="1" xfId="2" applyFont="1" applyFill="1" applyBorder="1" applyAlignment="1">
      <alignment vertical="top" wrapText="1"/>
    </xf>
    <xf numFmtId="44" fontId="4" fillId="0" borderId="0" xfId="2" applyFont="1" applyFill="1" applyAlignment="1">
      <alignment vertical="top"/>
    </xf>
    <xf numFmtId="44" fontId="2" fillId="0" borderId="1" xfId="2" applyFont="1" applyFill="1" applyBorder="1" applyAlignment="1" applyProtection="1">
      <alignment vertical="center"/>
      <protection locked="0"/>
    </xf>
    <xf numFmtId="44" fontId="2" fillId="0" borderId="1" xfId="2" applyFont="1" applyFill="1" applyBorder="1" applyAlignment="1">
      <alignment horizontal="right" vertical="center"/>
    </xf>
    <xf numFmtId="44" fontId="2" fillId="0" borderId="1" xfId="2" applyFont="1" applyFill="1" applyBorder="1" applyAlignment="1" applyProtection="1">
      <alignment horizontal="center" vertical="center"/>
      <protection locked="0"/>
    </xf>
    <xf numFmtId="44" fontId="2" fillId="0" borderId="1" xfId="2" applyFont="1" applyFill="1" applyBorder="1" applyAlignment="1">
      <alignment vertical="center" wrapText="1"/>
    </xf>
    <xf numFmtId="44" fontId="4" fillId="0" borderId="0" xfId="2" applyFont="1" applyFill="1" applyAlignment="1">
      <alignment vertical="center"/>
    </xf>
    <xf numFmtId="44" fontId="2" fillId="0" borderId="1" xfId="2" applyFont="1" applyFill="1" applyBorder="1" applyAlignment="1">
      <alignment horizontal="center" wrapText="1"/>
    </xf>
    <xf numFmtId="44" fontId="2" fillId="0" borderId="1" xfId="2" applyFont="1" applyFill="1" applyBorder="1" applyAlignment="1"/>
  </cellXfs>
  <cellStyles count="3">
    <cellStyle name="Millares" xfId="1" builtinId="3"/>
    <cellStyle name="Moneda" xfId="2" builtinId="4"/>
    <cellStyle name="Normal" xfId="0" builtinId="0"/>
  </cellStyles>
  <dxfs count="1">
    <dxf>
      <fill>
        <patternFill>
          <bgColor rgb="FFFF6D6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B060F-5BC3-4B7A-BED3-06698CF4A00B}">
  <sheetPr filterMode="1"/>
  <dimension ref="A1:BA55"/>
  <sheetViews>
    <sheetView tabSelected="1" zoomScaleNormal="100" workbookViewId="0">
      <pane ySplit="1" topLeftCell="A5" activePane="bottomLeft" state="frozen"/>
      <selection pane="bottomLeft" activeCell="D8" sqref="D8"/>
    </sheetView>
  </sheetViews>
  <sheetFormatPr baseColWidth="10" defaultColWidth="11.28515625" defaultRowHeight="12.75" x14ac:dyDescent="0.2"/>
  <cols>
    <col min="1" max="1" width="39" style="26" bestFit="1" customWidth="1"/>
    <col min="2" max="2" width="8.28515625" style="26" customWidth="1"/>
    <col min="3" max="3" width="18.140625" style="26" bestFit="1" customWidth="1"/>
    <col min="4" max="4" width="34.42578125" style="26" bestFit="1" customWidth="1"/>
    <col min="5" max="5" width="13.7109375" style="26" customWidth="1"/>
    <col min="6" max="6" width="11.28515625" style="26"/>
    <col min="7" max="7" width="10.42578125" style="36" bestFit="1" customWidth="1"/>
    <col min="8" max="8" width="16.140625" style="36" customWidth="1"/>
    <col min="9" max="9" width="11.140625" style="36" customWidth="1"/>
    <col min="10" max="12" width="11.140625" style="26" customWidth="1"/>
    <col min="13" max="13" width="9.5703125" style="26" customWidth="1"/>
    <col min="14" max="14" width="15.5703125" style="26" customWidth="1"/>
    <col min="15" max="15" width="4" style="26" customWidth="1"/>
    <col min="16" max="16" width="14.7109375" style="26" customWidth="1"/>
    <col min="17" max="17" width="29.28515625" style="26" bestFit="1" customWidth="1"/>
    <col min="18" max="18" width="8" style="26" customWidth="1"/>
    <col min="19" max="19" width="11.5703125" style="26" customWidth="1"/>
    <col min="20" max="20" width="17.140625" style="26" customWidth="1"/>
    <col min="21" max="21" width="9.140625" style="26" customWidth="1"/>
    <col min="22" max="22" width="11.5703125" style="26" customWidth="1"/>
    <col min="23" max="23" width="17.140625" style="26" customWidth="1"/>
    <col min="24" max="24" width="14.140625" style="26" customWidth="1"/>
    <col min="25" max="25" width="10.85546875" style="26" customWidth="1"/>
    <col min="26" max="26" width="11" style="26" customWidth="1"/>
    <col min="27" max="27" width="16.85546875" style="26" customWidth="1"/>
    <col min="28" max="28" width="25.42578125" style="26" bestFit="1" customWidth="1"/>
    <col min="29" max="29" width="16.28515625" style="26" customWidth="1"/>
    <col min="30" max="30" width="16.140625" style="26" customWidth="1"/>
    <col min="31" max="31" width="17.85546875" style="26" customWidth="1"/>
    <col min="32" max="32" width="16.28515625" style="26" customWidth="1"/>
    <col min="33" max="33" width="18.42578125" style="26" customWidth="1"/>
    <col min="34" max="36" width="18.85546875" style="26" customWidth="1"/>
    <col min="37" max="37" width="15" style="26" customWidth="1"/>
    <col min="38" max="38" width="15.140625" style="26" customWidth="1"/>
    <col min="39" max="39" width="14.140625" style="26" customWidth="1"/>
    <col min="40" max="40" width="13.140625" style="26" customWidth="1"/>
    <col min="41" max="41" width="15.140625" style="26" customWidth="1"/>
    <col min="42" max="42" width="13.42578125" style="26" customWidth="1"/>
    <col min="43" max="43" width="16.28515625" style="26" customWidth="1"/>
    <col min="44" max="44" width="10.42578125" style="26" customWidth="1"/>
    <col min="45" max="45" width="14.140625" style="38" customWidth="1"/>
    <col min="46" max="46" width="16.85546875" style="38" bestFit="1" customWidth="1"/>
    <col min="47" max="47" width="15.28515625" style="26" customWidth="1"/>
    <col min="48" max="48" width="16.85546875" style="36" bestFit="1" customWidth="1"/>
    <col min="49" max="49" width="18.5703125" style="26" customWidth="1"/>
    <col min="50" max="50" width="14.140625" style="26" bestFit="1" customWidth="1"/>
    <col min="51" max="51" width="54.5703125" style="39" customWidth="1"/>
    <col min="52" max="52" width="50.42578125" style="26" customWidth="1"/>
    <col min="53" max="54" width="11.5703125" style="26" bestFit="1" customWidth="1"/>
    <col min="55" max="16384" width="11.28515625" style="26"/>
  </cols>
  <sheetData>
    <row r="1" spans="1:53" s="24" customFormat="1" ht="20.100000000000001" customHeight="1" x14ac:dyDescent="0.2">
      <c r="A1" s="2" t="s">
        <v>0</v>
      </c>
      <c r="B1" s="3" t="s">
        <v>1</v>
      </c>
      <c r="C1" s="4" t="s">
        <v>2</v>
      </c>
      <c r="D1" s="5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8" t="s">
        <v>13</v>
      </c>
      <c r="O1" s="10" t="s">
        <v>14</v>
      </c>
      <c r="P1" s="8" t="s">
        <v>15</v>
      </c>
      <c r="Q1" s="8" t="s">
        <v>16</v>
      </c>
      <c r="R1" s="11" t="s">
        <v>17</v>
      </c>
      <c r="S1" s="12" t="s">
        <v>18</v>
      </c>
      <c r="T1" s="8" t="s">
        <v>19</v>
      </c>
      <c r="U1" s="5" t="s">
        <v>20</v>
      </c>
      <c r="V1" s="12" t="s">
        <v>21</v>
      </c>
      <c r="W1" s="13" t="s">
        <v>22</v>
      </c>
      <c r="X1" s="13" t="s">
        <v>23</v>
      </c>
      <c r="Y1" s="13" t="s">
        <v>24</v>
      </c>
      <c r="Z1" s="13" t="s">
        <v>25</v>
      </c>
      <c r="AA1" s="14" t="s">
        <v>26</v>
      </c>
      <c r="AB1" s="14" t="s">
        <v>27</v>
      </c>
      <c r="AC1" s="14" t="s">
        <v>28</v>
      </c>
      <c r="AD1" s="14" t="s">
        <v>29</v>
      </c>
      <c r="AE1" s="14" t="s">
        <v>30</v>
      </c>
      <c r="AF1" s="14" t="s">
        <v>31</v>
      </c>
      <c r="AG1" s="15" t="s">
        <v>32</v>
      </c>
      <c r="AH1" s="15" t="s">
        <v>33</v>
      </c>
      <c r="AI1" s="15" t="s">
        <v>34</v>
      </c>
      <c r="AJ1" s="16" t="s">
        <v>35</v>
      </c>
      <c r="AK1" s="16" t="s">
        <v>36</v>
      </c>
      <c r="AL1" s="16" t="s">
        <v>37</v>
      </c>
      <c r="AM1" s="16" t="s">
        <v>38</v>
      </c>
      <c r="AN1" s="16" t="s">
        <v>39</v>
      </c>
      <c r="AO1" s="14" t="s">
        <v>40</v>
      </c>
      <c r="AP1" s="17" t="s">
        <v>41</v>
      </c>
      <c r="AQ1" s="2" t="s">
        <v>42</v>
      </c>
      <c r="AR1" s="18" t="s">
        <v>43</v>
      </c>
      <c r="AS1" s="19" t="s">
        <v>44</v>
      </c>
      <c r="AT1" s="19" t="s">
        <v>45</v>
      </c>
      <c r="AU1" s="9" t="s">
        <v>46</v>
      </c>
      <c r="AV1" s="20" t="s">
        <v>47</v>
      </c>
      <c r="AW1" s="20" t="s">
        <v>48</v>
      </c>
      <c r="AX1" s="20" t="s">
        <v>49</v>
      </c>
      <c r="AY1" s="21" t="s">
        <v>184</v>
      </c>
      <c r="AZ1" s="21" t="s">
        <v>179</v>
      </c>
    </row>
    <row r="2" spans="1:53" s="53" customFormat="1" hidden="1" x14ac:dyDescent="0.2">
      <c r="A2" s="45" t="s">
        <v>50</v>
      </c>
      <c r="B2" s="46">
        <v>2</v>
      </c>
      <c r="C2" s="45" t="s">
        <v>51</v>
      </c>
      <c r="D2" s="47" t="s">
        <v>52</v>
      </c>
      <c r="E2" s="46">
        <v>52199123</v>
      </c>
      <c r="F2" s="48">
        <v>46049</v>
      </c>
      <c r="G2" s="48">
        <v>46229</v>
      </c>
      <c r="H2" s="49">
        <v>72000000</v>
      </c>
      <c r="I2" s="49" t="s">
        <v>53</v>
      </c>
      <c r="J2" s="49" t="s">
        <v>53</v>
      </c>
      <c r="K2" s="49" t="s">
        <v>53</v>
      </c>
      <c r="L2" s="49" t="s">
        <v>53</v>
      </c>
      <c r="M2" s="49" t="s">
        <v>53</v>
      </c>
      <c r="N2" s="46">
        <f>H2/6</f>
        <v>12000000</v>
      </c>
      <c r="O2" s="49" t="s">
        <v>54</v>
      </c>
      <c r="P2" s="46">
        <v>0</v>
      </c>
      <c r="Q2" s="46">
        <v>12000000</v>
      </c>
      <c r="R2" s="49">
        <v>381</v>
      </c>
      <c r="S2" s="50">
        <v>46034</v>
      </c>
      <c r="T2" s="49">
        <v>72000000</v>
      </c>
      <c r="U2" s="49">
        <v>1008</v>
      </c>
      <c r="V2" s="49">
        <v>46049</v>
      </c>
      <c r="W2" s="49">
        <v>72000000</v>
      </c>
      <c r="X2" s="46">
        <v>46053</v>
      </c>
      <c r="Y2" s="46">
        <v>4</v>
      </c>
      <c r="Z2" s="46">
        <v>26</v>
      </c>
      <c r="AA2" s="46">
        <v>1600000</v>
      </c>
      <c r="AB2" s="46">
        <v>12000000</v>
      </c>
      <c r="AC2" s="46">
        <v>12000000</v>
      </c>
      <c r="AD2" s="46">
        <v>12000000</v>
      </c>
      <c r="AE2" s="46">
        <v>12000000</v>
      </c>
      <c r="AF2" s="46">
        <v>12000000</v>
      </c>
      <c r="AG2" s="46">
        <v>10400000</v>
      </c>
      <c r="AH2" s="46">
        <v>10400000</v>
      </c>
      <c r="AI2" s="46">
        <f>+Q2/30*Y2</f>
        <v>1600000</v>
      </c>
      <c r="AJ2" s="46">
        <f>Q2</f>
        <v>12000000</v>
      </c>
      <c r="AK2" s="51">
        <f>+Q2</f>
        <v>12000000</v>
      </c>
      <c r="AL2" s="51">
        <f>Q2/30*Z2</f>
        <v>10400000</v>
      </c>
      <c r="AM2" s="51">
        <v>0</v>
      </c>
      <c r="AN2" s="51"/>
      <c r="AO2" s="51">
        <f t="shared" ref="AO2:AO33" si="0">+AA2+AB2+AC2+AD2+AE2+AF2+AG2+AI2+AJ2+AK2+AL2</f>
        <v>108000000</v>
      </c>
      <c r="AP2" s="46">
        <f>+AO2-H2-AT2</f>
        <v>0</v>
      </c>
      <c r="AQ2" s="46" t="s">
        <v>55</v>
      </c>
      <c r="AR2" s="48">
        <v>46321</v>
      </c>
      <c r="AS2" s="48">
        <f>H2*50/100</f>
        <v>36000000</v>
      </c>
      <c r="AT2" s="48">
        <v>36000000</v>
      </c>
      <c r="AU2" s="49" t="str">
        <f t="shared" ref="AU2:AU16" si="1">IF(AS2&gt;=AT2, "VERDADERO", "FALSO")</f>
        <v>VERDADERO</v>
      </c>
      <c r="AV2" s="48">
        <v>36000000</v>
      </c>
      <c r="AW2" s="47" t="s">
        <v>56</v>
      </c>
      <c r="AX2" s="45" t="s">
        <v>57</v>
      </c>
      <c r="AY2" s="52" t="s">
        <v>58</v>
      </c>
      <c r="BA2" s="54"/>
    </row>
    <row r="3" spans="1:53" s="53" customFormat="1" ht="20.100000000000001" hidden="1" customHeight="1" x14ac:dyDescent="0.2">
      <c r="A3" s="45" t="s">
        <v>50</v>
      </c>
      <c r="B3" s="45"/>
      <c r="C3" s="45" t="s">
        <v>59</v>
      </c>
      <c r="D3" s="47" t="s">
        <v>60</v>
      </c>
      <c r="E3" s="46">
        <v>51773607</v>
      </c>
      <c r="F3" s="48">
        <v>46049</v>
      </c>
      <c r="G3" s="48">
        <v>46229</v>
      </c>
      <c r="H3" s="49">
        <v>72000000</v>
      </c>
      <c r="I3" s="49" t="s">
        <v>53</v>
      </c>
      <c r="J3" s="49" t="s">
        <v>53</v>
      </c>
      <c r="K3" s="49" t="s">
        <v>53</v>
      </c>
      <c r="L3" s="49" t="s">
        <v>53</v>
      </c>
      <c r="M3" s="49" t="s">
        <v>61</v>
      </c>
      <c r="N3" s="46">
        <f t="shared" ref="N3:N33" si="2">H3/6</f>
        <v>12000000</v>
      </c>
      <c r="O3" s="49" t="s">
        <v>54</v>
      </c>
      <c r="P3" s="46">
        <v>0</v>
      </c>
      <c r="Q3" s="46">
        <v>12000000</v>
      </c>
      <c r="R3" s="49">
        <v>382</v>
      </c>
      <c r="S3" s="50">
        <v>46034</v>
      </c>
      <c r="T3" s="49">
        <v>72000000</v>
      </c>
      <c r="U3" s="49">
        <v>14555</v>
      </c>
      <c r="V3" s="49">
        <v>46174</v>
      </c>
      <c r="W3" s="49">
        <v>22400000</v>
      </c>
      <c r="X3" s="46">
        <v>46053</v>
      </c>
      <c r="Y3" s="49">
        <v>4</v>
      </c>
      <c r="Z3" s="46">
        <v>26</v>
      </c>
      <c r="AA3" s="46">
        <v>1600000</v>
      </c>
      <c r="AB3" s="46">
        <v>12000000</v>
      </c>
      <c r="AC3" s="46">
        <v>12000000</v>
      </c>
      <c r="AD3" s="46">
        <v>12000000</v>
      </c>
      <c r="AE3" s="46">
        <v>12000000</v>
      </c>
      <c r="AF3" s="46">
        <v>12000000</v>
      </c>
      <c r="AG3" s="46">
        <v>10400000</v>
      </c>
      <c r="AH3" s="46">
        <v>10400000</v>
      </c>
      <c r="AI3" s="46">
        <f>+Q3/30*Y3</f>
        <v>1600000</v>
      </c>
      <c r="AJ3" s="46">
        <f>+AF3</f>
        <v>12000000</v>
      </c>
      <c r="AK3" s="51">
        <f>+AJ3</f>
        <v>12000000</v>
      </c>
      <c r="AL3" s="51">
        <f>+AH3</f>
        <v>10400000</v>
      </c>
      <c r="AM3" s="51">
        <v>0</v>
      </c>
      <c r="AN3" s="51">
        <v>0</v>
      </c>
      <c r="AO3" s="51">
        <f t="shared" si="0"/>
        <v>108000000</v>
      </c>
      <c r="AP3" s="46">
        <v>0</v>
      </c>
      <c r="AQ3" s="46" t="s">
        <v>55</v>
      </c>
      <c r="AR3" s="48">
        <v>46321</v>
      </c>
      <c r="AS3" s="48">
        <v>36000000</v>
      </c>
      <c r="AT3" s="48">
        <v>36000000</v>
      </c>
      <c r="AU3" s="49" t="str">
        <f t="shared" si="1"/>
        <v>VERDADERO</v>
      </c>
      <c r="AV3" s="48">
        <v>36000000</v>
      </c>
      <c r="AW3" s="47" t="s">
        <v>56</v>
      </c>
      <c r="AX3" s="45" t="s">
        <v>62</v>
      </c>
      <c r="AY3" s="52" t="s">
        <v>63</v>
      </c>
      <c r="AZ3" s="53" t="s">
        <v>180</v>
      </c>
    </row>
    <row r="4" spans="1:53" s="53" customFormat="1" hidden="1" x14ac:dyDescent="0.2">
      <c r="A4" s="45" t="s">
        <v>50</v>
      </c>
      <c r="B4" s="45"/>
      <c r="C4" s="45" t="s">
        <v>64</v>
      </c>
      <c r="D4" s="47" t="s">
        <v>65</v>
      </c>
      <c r="E4" s="46">
        <v>79372474</v>
      </c>
      <c r="F4" s="48">
        <v>46049</v>
      </c>
      <c r="G4" s="48">
        <v>46229</v>
      </c>
      <c r="H4" s="49">
        <v>72000000</v>
      </c>
      <c r="I4" s="49" t="s">
        <v>53</v>
      </c>
      <c r="J4" s="49" t="s">
        <v>53</v>
      </c>
      <c r="K4" s="49" t="s">
        <v>53</v>
      </c>
      <c r="L4" s="49" t="s">
        <v>53</v>
      </c>
      <c r="M4" s="49" t="s">
        <v>53</v>
      </c>
      <c r="N4" s="46">
        <f t="shared" si="2"/>
        <v>12000000</v>
      </c>
      <c r="O4" s="49" t="s">
        <v>54</v>
      </c>
      <c r="P4" s="46">
        <v>0</v>
      </c>
      <c r="Q4" s="46">
        <v>12000000</v>
      </c>
      <c r="R4" s="49">
        <v>312</v>
      </c>
      <c r="S4" s="50">
        <v>46034</v>
      </c>
      <c r="T4" s="49">
        <v>72000000</v>
      </c>
      <c r="U4" s="49">
        <v>1034</v>
      </c>
      <c r="V4" s="49">
        <v>46049</v>
      </c>
      <c r="W4" s="49">
        <v>72000000</v>
      </c>
      <c r="X4" s="46">
        <v>46053</v>
      </c>
      <c r="Y4" s="49">
        <v>4</v>
      </c>
      <c r="Z4" s="46">
        <v>26</v>
      </c>
      <c r="AA4" s="46">
        <v>1600000</v>
      </c>
      <c r="AB4" s="46">
        <v>12000000</v>
      </c>
      <c r="AC4" s="46">
        <v>12000000</v>
      </c>
      <c r="AD4" s="46">
        <v>12000000</v>
      </c>
      <c r="AE4" s="46">
        <v>12000000</v>
      </c>
      <c r="AF4" s="46">
        <v>12000000</v>
      </c>
      <c r="AG4" s="46">
        <f>Q4/30*26</f>
        <v>10400000</v>
      </c>
      <c r="AH4" s="46">
        <f>AG4</f>
        <v>10400000</v>
      </c>
      <c r="AI4" s="46">
        <f>Q4/30*4</f>
        <v>1600000</v>
      </c>
      <c r="AJ4" s="46">
        <f>Q4</f>
        <v>12000000</v>
      </c>
      <c r="AK4" s="51">
        <f>AJ4</f>
        <v>12000000</v>
      </c>
      <c r="AL4" s="51">
        <f>Q4/30*26</f>
        <v>10400000</v>
      </c>
      <c r="AM4" s="51">
        <v>0</v>
      </c>
      <c r="AN4" s="51">
        <v>0</v>
      </c>
      <c r="AO4" s="51">
        <f t="shared" si="0"/>
        <v>108000000</v>
      </c>
      <c r="AP4" s="46">
        <v>0</v>
      </c>
      <c r="AQ4" s="46" t="s">
        <v>55</v>
      </c>
      <c r="AR4" s="48">
        <v>46321</v>
      </c>
      <c r="AS4" s="48">
        <v>36000000</v>
      </c>
      <c r="AT4" s="48">
        <v>36000000</v>
      </c>
      <c r="AU4" s="49" t="str">
        <f t="shared" si="1"/>
        <v>VERDADERO</v>
      </c>
      <c r="AV4" s="48">
        <v>36000000</v>
      </c>
      <c r="AW4" s="47" t="s">
        <v>56</v>
      </c>
      <c r="AX4" s="45" t="s">
        <v>66</v>
      </c>
      <c r="AY4" s="52" t="s">
        <v>67</v>
      </c>
    </row>
    <row r="5" spans="1:53" s="53" customFormat="1" hidden="1" x14ac:dyDescent="0.2">
      <c r="A5" s="45" t="s">
        <v>50</v>
      </c>
      <c r="B5" s="45"/>
      <c r="C5" s="45" t="s">
        <v>68</v>
      </c>
      <c r="D5" s="47" t="s">
        <v>69</v>
      </c>
      <c r="E5" s="46">
        <v>51687555</v>
      </c>
      <c r="F5" s="48">
        <v>46049</v>
      </c>
      <c r="G5" s="48">
        <v>46229</v>
      </c>
      <c r="H5" s="49">
        <v>72000000</v>
      </c>
      <c r="I5" s="49" t="s">
        <v>53</v>
      </c>
      <c r="J5" s="49" t="s">
        <v>53</v>
      </c>
      <c r="K5" s="49" t="s">
        <v>53</v>
      </c>
      <c r="L5" s="49" t="s">
        <v>53</v>
      </c>
      <c r="M5" s="49" t="s">
        <v>53</v>
      </c>
      <c r="N5" s="46">
        <f t="shared" si="2"/>
        <v>12000000</v>
      </c>
      <c r="O5" s="49" t="s">
        <v>54</v>
      </c>
      <c r="P5" s="46">
        <v>0</v>
      </c>
      <c r="Q5" s="46">
        <v>12000000</v>
      </c>
      <c r="R5" s="49">
        <v>433</v>
      </c>
      <c r="S5" s="50">
        <v>46034</v>
      </c>
      <c r="T5" s="49">
        <v>72000000</v>
      </c>
      <c r="U5" s="49">
        <v>1037</v>
      </c>
      <c r="V5" s="49">
        <v>46049</v>
      </c>
      <c r="W5" s="49">
        <v>72000000</v>
      </c>
      <c r="X5" s="46">
        <v>46053</v>
      </c>
      <c r="Y5" s="49">
        <v>4</v>
      </c>
      <c r="Z5" s="46">
        <v>26</v>
      </c>
      <c r="AA5" s="46">
        <v>1600000</v>
      </c>
      <c r="AB5" s="46">
        <v>12000000</v>
      </c>
      <c r="AC5" s="46">
        <v>12000000</v>
      </c>
      <c r="AD5" s="46">
        <v>12000000</v>
      </c>
      <c r="AE5" s="46">
        <v>12000000</v>
      </c>
      <c r="AF5" s="46">
        <v>12000000</v>
      </c>
      <c r="AG5" s="46">
        <v>10400000</v>
      </c>
      <c r="AH5" s="46">
        <v>10400000</v>
      </c>
      <c r="AI5" s="46">
        <f>+AF5/30*4</f>
        <v>1600000</v>
      </c>
      <c r="AJ5" s="46">
        <f>+AF5</f>
        <v>12000000</v>
      </c>
      <c r="AK5" s="51">
        <f>+AJ5</f>
        <v>12000000</v>
      </c>
      <c r="AL5" s="51">
        <f>+AK5/30*26</f>
        <v>10400000</v>
      </c>
      <c r="AM5" s="51">
        <v>0</v>
      </c>
      <c r="AN5" s="51">
        <v>0</v>
      </c>
      <c r="AO5" s="51">
        <f t="shared" si="0"/>
        <v>108000000</v>
      </c>
      <c r="AP5" s="46">
        <v>0</v>
      </c>
      <c r="AQ5" s="46" t="s">
        <v>55</v>
      </c>
      <c r="AR5" s="48">
        <v>46321</v>
      </c>
      <c r="AS5" s="48">
        <v>36000000</v>
      </c>
      <c r="AT5" s="48">
        <v>36000000</v>
      </c>
      <c r="AU5" s="49" t="str">
        <f t="shared" si="1"/>
        <v>VERDADERO</v>
      </c>
      <c r="AV5" s="48">
        <v>36000000</v>
      </c>
      <c r="AW5" s="47" t="s">
        <v>56</v>
      </c>
      <c r="AX5" s="45" t="s">
        <v>70</v>
      </c>
      <c r="AY5" s="52" t="s">
        <v>71</v>
      </c>
    </row>
    <row r="6" spans="1:53" s="53" customFormat="1" ht="20.100000000000001" hidden="1" customHeight="1" x14ac:dyDescent="0.2">
      <c r="A6" s="45" t="s">
        <v>50</v>
      </c>
      <c r="B6" s="45"/>
      <c r="C6" s="45" t="s">
        <v>72</v>
      </c>
      <c r="D6" s="47" t="s">
        <v>73</v>
      </c>
      <c r="E6" s="46">
        <v>80408734</v>
      </c>
      <c r="F6" s="48">
        <v>46049</v>
      </c>
      <c r="G6" s="48">
        <v>46229</v>
      </c>
      <c r="H6" s="49">
        <v>72000000</v>
      </c>
      <c r="I6" s="49" t="s">
        <v>53</v>
      </c>
      <c r="J6" s="49" t="s">
        <v>53</v>
      </c>
      <c r="K6" s="49" t="s">
        <v>53</v>
      </c>
      <c r="L6" s="49" t="s">
        <v>53</v>
      </c>
      <c r="M6" s="49" t="s">
        <v>53</v>
      </c>
      <c r="N6" s="46">
        <f t="shared" si="2"/>
        <v>12000000</v>
      </c>
      <c r="O6" s="49" t="s">
        <v>54</v>
      </c>
      <c r="P6" s="46">
        <v>0</v>
      </c>
      <c r="Q6" s="46">
        <v>12000000</v>
      </c>
      <c r="R6" s="49">
        <v>313</v>
      </c>
      <c r="S6" s="50">
        <v>46033</v>
      </c>
      <c r="T6" s="49">
        <v>72000000</v>
      </c>
      <c r="U6" s="49">
        <v>1029</v>
      </c>
      <c r="V6" s="49">
        <v>46049</v>
      </c>
      <c r="W6" s="49">
        <v>72000000</v>
      </c>
      <c r="X6" s="46">
        <v>46053</v>
      </c>
      <c r="Y6" s="49">
        <v>4</v>
      </c>
      <c r="Z6" s="46">
        <v>26</v>
      </c>
      <c r="AA6" s="46">
        <v>1600000</v>
      </c>
      <c r="AB6" s="46">
        <v>12000000</v>
      </c>
      <c r="AC6" s="46">
        <v>12000000</v>
      </c>
      <c r="AD6" s="46">
        <v>12000000</v>
      </c>
      <c r="AE6" s="46">
        <v>12000000</v>
      </c>
      <c r="AF6" s="46">
        <v>12000000</v>
      </c>
      <c r="AG6" s="46">
        <v>10400000</v>
      </c>
      <c r="AH6" s="46">
        <v>10400000</v>
      </c>
      <c r="AI6" s="46">
        <v>1600000</v>
      </c>
      <c r="AJ6" s="46">
        <v>12000000</v>
      </c>
      <c r="AK6" s="51">
        <f>+AJ6</f>
        <v>12000000</v>
      </c>
      <c r="AL6" s="51">
        <f>+AG6</f>
        <v>10400000</v>
      </c>
      <c r="AM6" s="51">
        <v>0</v>
      </c>
      <c r="AN6" s="51">
        <v>0</v>
      </c>
      <c r="AO6" s="51">
        <f t="shared" si="0"/>
        <v>108000000</v>
      </c>
      <c r="AP6" s="46">
        <f>+AO6-H6-AT6</f>
        <v>0</v>
      </c>
      <c r="AQ6" s="46" t="s">
        <v>55</v>
      </c>
      <c r="AR6" s="48">
        <v>46321</v>
      </c>
      <c r="AS6" s="48">
        <f>H6*50/100</f>
        <v>36000000</v>
      </c>
      <c r="AT6" s="48">
        <f>AI6+AJ6+AK6+AL6</f>
        <v>36000000</v>
      </c>
      <c r="AU6" s="49" t="str">
        <f t="shared" si="1"/>
        <v>VERDADERO</v>
      </c>
      <c r="AV6" s="48">
        <v>36000000</v>
      </c>
      <c r="AW6" s="47" t="s">
        <v>56</v>
      </c>
      <c r="AX6" s="45" t="s">
        <v>74</v>
      </c>
      <c r="AY6" s="52" t="s">
        <v>75</v>
      </c>
    </row>
    <row r="7" spans="1:53" s="53" customFormat="1" ht="20.100000000000001" hidden="1" customHeight="1" x14ac:dyDescent="0.2">
      <c r="A7" s="45" t="s">
        <v>50</v>
      </c>
      <c r="B7" s="45"/>
      <c r="C7" s="45" t="s">
        <v>76</v>
      </c>
      <c r="D7" s="47" t="s">
        <v>77</v>
      </c>
      <c r="E7" s="46">
        <v>79595337</v>
      </c>
      <c r="F7" s="48">
        <v>46049</v>
      </c>
      <c r="G7" s="48">
        <v>46229</v>
      </c>
      <c r="H7" s="49">
        <v>72000000</v>
      </c>
      <c r="I7" s="49" t="s">
        <v>53</v>
      </c>
      <c r="J7" s="49" t="s">
        <v>53</v>
      </c>
      <c r="K7" s="49" t="s">
        <v>53</v>
      </c>
      <c r="L7" s="49" t="s">
        <v>53</v>
      </c>
      <c r="M7" s="49" t="s">
        <v>53</v>
      </c>
      <c r="N7" s="46">
        <f t="shared" si="2"/>
        <v>12000000</v>
      </c>
      <c r="O7" s="49" t="s">
        <v>54</v>
      </c>
      <c r="P7" s="46">
        <v>0</v>
      </c>
      <c r="Q7" s="46">
        <f>N7+P7</f>
        <v>12000000</v>
      </c>
      <c r="R7" s="49">
        <v>292</v>
      </c>
      <c r="S7" s="50">
        <v>46033</v>
      </c>
      <c r="T7" s="49">
        <v>72000000</v>
      </c>
      <c r="U7" s="49">
        <v>1055</v>
      </c>
      <c r="V7" s="49">
        <v>46049</v>
      </c>
      <c r="W7" s="49">
        <v>72000000</v>
      </c>
      <c r="X7" s="46">
        <v>46053</v>
      </c>
      <c r="Y7" s="49">
        <v>4</v>
      </c>
      <c r="Z7" s="46">
        <v>26</v>
      </c>
      <c r="AA7" s="46">
        <v>1600000</v>
      </c>
      <c r="AB7" s="46">
        <v>12000000</v>
      </c>
      <c r="AC7" s="46">
        <v>12000000</v>
      </c>
      <c r="AD7" s="46">
        <v>12000000</v>
      </c>
      <c r="AE7" s="46">
        <v>12000000</v>
      </c>
      <c r="AF7" s="46">
        <v>12000000</v>
      </c>
      <c r="AG7" s="46">
        <f>Q7/30*26</f>
        <v>10400000</v>
      </c>
      <c r="AH7" s="46">
        <f>AG7</f>
        <v>10400000</v>
      </c>
      <c r="AI7" s="46">
        <f>Q7/30*4</f>
        <v>1600000</v>
      </c>
      <c r="AJ7" s="46">
        <f>Q7</f>
        <v>12000000</v>
      </c>
      <c r="AK7" s="51">
        <f>AJ7</f>
        <v>12000000</v>
      </c>
      <c r="AL7" s="51">
        <f>Q7/30*26</f>
        <v>10400000</v>
      </c>
      <c r="AM7" s="51">
        <v>0</v>
      </c>
      <c r="AN7" s="51">
        <v>0</v>
      </c>
      <c r="AO7" s="51">
        <f t="shared" si="0"/>
        <v>108000000</v>
      </c>
      <c r="AP7" s="46">
        <v>0</v>
      </c>
      <c r="AQ7" s="46" t="s">
        <v>55</v>
      </c>
      <c r="AR7" s="48">
        <v>46321</v>
      </c>
      <c r="AS7" s="48">
        <f>H7*50/100</f>
        <v>36000000</v>
      </c>
      <c r="AT7" s="48">
        <f>AI7+AJ7+AK7+AL7</f>
        <v>36000000</v>
      </c>
      <c r="AU7" s="49" t="str">
        <f t="shared" si="1"/>
        <v>VERDADERO</v>
      </c>
      <c r="AV7" s="48">
        <v>36000000</v>
      </c>
      <c r="AW7" s="47" t="s">
        <v>56</v>
      </c>
      <c r="AX7" s="45" t="s">
        <v>78</v>
      </c>
      <c r="AY7" s="52" t="s">
        <v>79</v>
      </c>
      <c r="AZ7" s="53" t="s">
        <v>181</v>
      </c>
    </row>
    <row r="8" spans="1:53" s="53" customFormat="1" x14ac:dyDescent="0.2">
      <c r="A8" s="45" t="s">
        <v>50</v>
      </c>
      <c r="B8" s="45"/>
      <c r="C8" s="45" t="s">
        <v>80</v>
      </c>
      <c r="D8" s="47" t="s">
        <v>81</v>
      </c>
      <c r="E8" s="46">
        <v>1051954314</v>
      </c>
      <c r="F8" s="48" t="s">
        <v>82</v>
      </c>
      <c r="G8" s="48">
        <v>46231</v>
      </c>
      <c r="H8" s="49">
        <v>72000000</v>
      </c>
      <c r="I8" s="49" t="s">
        <v>53</v>
      </c>
      <c r="J8" s="49" t="s">
        <v>53</v>
      </c>
      <c r="K8" s="49" t="s">
        <v>53</v>
      </c>
      <c r="L8" s="49" t="s">
        <v>53</v>
      </c>
      <c r="M8" s="49" t="s">
        <v>53</v>
      </c>
      <c r="N8" s="46">
        <f t="shared" si="2"/>
        <v>12000000</v>
      </c>
      <c r="O8" s="49" t="s">
        <v>54</v>
      </c>
      <c r="P8" s="46">
        <v>0</v>
      </c>
      <c r="Q8" s="46">
        <v>12000000</v>
      </c>
      <c r="R8" s="49">
        <v>362</v>
      </c>
      <c r="S8" s="50">
        <v>46034</v>
      </c>
      <c r="T8" s="49">
        <v>72000000</v>
      </c>
      <c r="U8" s="49">
        <v>1147</v>
      </c>
      <c r="V8" s="49">
        <v>46051</v>
      </c>
      <c r="W8" s="49">
        <v>72000000</v>
      </c>
      <c r="X8" s="46">
        <v>46053</v>
      </c>
      <c r="Y8" s="49">
        <v>2</v>
      </c>
      <c r="Z8" s="46">
        <v>28</v>
      </c>
      <c r="AA8" s="46">
        <v>800000</v>
      </c>
      <c r="AB8" s="46">
        <v>12000000</v>
      </c>
      <c r="AC8" s="46">
        <v>12000000</v>
      </c>
      <c r="AD8" s="46">
        <v>12000000</v>
      </c>
      <c r="AE8" s="46">
        <v>12000000</v>
      </c>
      <c r="AF8" s="46">
        <v>12000000</v>
      </c>
      <c r="AG8" s="46">
        <v>11200000</v>
      </c>
      <c r="AH8" s="46">
        <v>11200000</v>
      </c>
      <c r="AI8" s="46">
        <f>+Q8/30*Y8</f>
        <v>800000</v>
      </c>
      <c r="AJ8" s="46">
        <f>Q8</f>
        <v>12000000</v>
      </c>
      <c r="AK8" s="51">
        <f>+Q8</f>
        <v>12000000</v>
      </c>
      <c r="AL8" s="51">
        <f>Q8/30*Z8</f>
        <v>11200000</v>
      </c>
      <c r="AM8" s="51">
        <v>0</v>
      </c>
      <c r="AN8" s="51"/>
      <c r="AO8" s="51">
        <f t="shared" si="0"/>
        <v>108000000</v>
      </c>
      <c r="AP8" s="46">
        <f>+AO8-H8-AT8</f>
        <v>0</v>
      </c>
      <c r="AQ8" s="46" t="s">
        <v>55</v>
      </c>
      <c r="AR8" s="48">
        <v>46323</v>
      </c>
      <c r="AS8" s="48">
        <f>H8*50/100</f>
        <v>36000000</v>
      </c>
      <c r="AT8" s="48">
        <v>36000000</v>
      </c>
      <c r="AU8" s="49" t="str">
        <f t="shared" si="1"/>
        <v>VERDADERO</v>
      </c>
      <c r="AV8" s="48">
        <v>36000000</v>
      </c>
      <c r="AW8" s="47" t="s">
        <v>56</v>
      </c>
      <c r="AX8" s="45" t="s">
        <v>83</v>
      </c>
      <c r="AY8" s="52" t="s">
        <v>58</v>
      </c>
    </row>
    <row r="9" spans="1:53" s="53" customFormat="1" hidden="1" x14ac:dyDescent="0.2">
      <c r="A9" s="45" t="s">
        <v>50</v>
      </c>
      <c r="B9" s="45"/>
      <c r="C9" s="45" t="s">
        <v>84</v>
      </c>
      <c r="D9" s="47" t="s">
        <v>85</v>
      </c>
      <c r="E9" s="46">
        <v>1020798312</v>
      </c>
      <c r="F9" s="48">
        <v>46051</v>
      </c>
      <c r="G9" s="48">
        <v>46231</v>
      </c>
      <c r="H9" s="49">
        <v>48000000</v>
      </c>
      <c r="I9" s="49" t="s">
        <v>53</v>
      </c>
      <c r="J9" s="49" t="s">
        <v>53</v>
      </c>
      <c r="K9" s="49" t="s">
        <v>53</v>
      </c>
      <c r="L9" s="49" t="s">
        <v>53</v>
      </c>
      <c r="M9" s="49" t="s">
        <v>53</v>
      </c>
      <c r="N9" s="46">
        <f t="shared" si="2"/>
        <v>8000000</v>
      </c>
      <c r="O9" s="49" t="s">
        <v>54</v>
      </c>
      <c r="P9" s="46">
        <v>0</v>
      </c>
      <c r="Q9" s="46">
        <v>8000000</v>
      </c>
      <c r="R9" s="49">
        <v>434</v>
      </c>
      <c r="S9" s="50">
        <v>46034</v>
      </c>
      <c r="T9" s="49">
        <v>48000000</v>
      </c>
      <c r="U9" s="49">
        <v>1130</v>
      </c>
      <c r="V9" s="49">
        <v>46051</v>
      </c>
      <c r="W9" s="49">
        <v>48000000</v>
      </c>
      <c r="X9" s="46">
        <v>46053</v>
      </c>
      <c r="Y9" s="49">
        <v>2</v>
      </c>
      <c r="Z9" s="46">
        <v>28</v>
      </c>
      <c r="AA9" s="46">
        <v>533333.32999999996</v>
      </c>
      <c r="AB9" s="46">
        <v>8000000</v>
      </c>
      <c r="AC9" s="46">
        <v>8000000</v>
      </c>
      <c r="AD9" s="46">
        <v>8000000</v>
      </c>
      <c r="AE9" s="46">
        <v>8000000</v>
      </c>
      <c r="AF9" s="46">
        <v>8000000</v>
      </c>
      <c r="AG9" s="46">
        <v>7466666.666666667</v>
      </c>
      <c r="AH9" s="46">
        <v>7466666.666666667</v>
      </c>
      <c r="AI9" s="46">
        <f>+Q9/30*Y9</f>
        <v>533333.33333333337</v>
      </c>
      <c r="AJ9" s="46">
        <f>+AF9</f>
        <v>8000000</v>
      </c>
      <c r="AK9" s="51">
        <f>+AJ9</f>
        <v>8000000</v>
      </c>
      <c r="AL9" s="51">
        <f>+AH9</f>
        <v>7466666.666666667</v>
      </c>
      <c r="AM9" s="51">
        <v>0</v>
      </c>
      <c r="AN9" s="51">
        <v>0</v>
      </c>
      <c r="AO9" s="51">
        <f t="shared" si="0"/>
        <v>71999999.99666667</v>
      </c>
      <c r="AP9" s="46">
        <v>0</v>
      </c>
      <c r="AQ9" s="46" t="s">
        <v>55</v>
      </c>
      <c r="AR9" s="48">
        <v>46323</v>
      </c>
      <c r="AS9" s="48">
        <v>24000000</v>
      </c>
      <c r="AT9" s="48">
        <v>24000000</v>
      </c>
      <c r="AU9" s="49" t="str">
        <f t="shared" si="1"/>
        <v>VERDADERO</v>
      </c>
      <c r="AV9" s="48">
        <v>24000000</v>
      </c>
      <c r="AW9" s="47" t="s">
        <v>86</v>
      </c>
      <c r="AX9" s="45" t="s">
        <v>87</v>
      </c>
      <c r="AY9" s="52" t="s">
        <v>58</v>
      </c>
    </row>
    <row r="10" spans="1:53" s="53" customFormat="1" hidden="1" x14ac:dyDescent="0.2">
      <c r="A10" s="45" t="s">
        <v>50</v>
      </c>
      <c r="B10" s="45"/>
      <c r="C10" s="45" t="s">
        <v>88</v>
      </c>
      <c r="D10" s="47" t="s">
        <v>89</v>
      </c>
      <c r="E10" s="46">
        <v>52966149</v>
      </c>
      <c r="F10" s="48">
        <v>46051</v>
      </c>
      <c r="G10" s="48">
        <v>46231</v>
      </c>
      <c r="H10" s="49">
        <v>48000000</v>
      </c>
      <c r="I10" s="49" t="s">
        <v>53</v>
      </c>
      <c r="J10" s="49" t="s">
        <v>53</v>
      </c>
      <c r="K10" s="49" t="s">
        <v>53</v>
      </c>
      <c r="L10" s="49" t="s">
        <v>53</v>
      </c>
      <c r="M10" s="49" t="s">
        <v>53</v>
      </c>
      <c r="N10" s="46">
        <f t="shared" si="2"/>
        <v>8000000</v>
      </c>
      <c r="O10" s="49" t="s">
        <v>54</v>
      </c>
      <c r="P10" s="46">
        <v>0</v>
      </c>
      <c r="Q10" s="46">
        <v>8000000</v>
      </c>
      <c r="R10" s="49">
        <v>383</v>
      </c>
      <c r="S10" s="50">
        <v>46034</v>
      </c>
      <c r="T10" s="49">
        <v>48000000</v>
      </c>
      <c r="U10" s="49">
        <v>1137</v>
      </c>
      <c r="V10" s="49">
        <v>46051</v>
      </c>
      <c r="W10" s="49">
        <v>48000000</v>
      </c>
      <c r="X10" s="46">
        <v>46053</v>
      </c>
      <c r="Y10" s="49">
        <v>2</v>
      </c>
      <c r="Z10" s="46">
        <v>28</v>
      </c>
      <c r="AA10" s="46">
        <v>533333.32999999996</v>
      </c>
      <c r="AB10" s="46">
        <v>8000000</v>
      </c>
      <c r="AC10" s="46">
        <v>8000000</v>
      </c>
      <c r="AD10" s="46">
        <v>8000000</v>
      </c>
      <c r="AE10" s="46">
        <v>8000000</v>
      </c>
      <c r="AF10" s="46">
        <v>8000000</v>
      </c>
      <c r="AG10" s="46">
        <f>Q10/30*28</f>
        <v>7466666.666666667</v>
      </c>
      <c r="AH10" s="46">
        <f>AG10</f>
        <v>7466666.666666667</v>
      </c>
      <c r="AI10" s="46">
        <f>Q10/30*2</f>
        <v>533333.33333333337</v>
      </c>
      <c r="AJ10" s="46">
        <f>Q10</f>
        <v>8000000</v>
      </c>
      <c r="AK10" s="51">
        <f>AJ10</f>
        <v>8000000</v>
      </c>
      <c r="AL10" s="51">
        <f>Q10/30*28</f>
        <v>7466666.666666667</v>
      </c>
      <c r="AM10" s="51">
        <v>0</v>
      </c>
      <c r="AN10" s="51">
        <v>0</v>
      </c>
      <c r="AO10" s="51">
        <f t="shared" si="0"/>
        <v>71999999.99666667</v>
      </c>
      <c r="AP10" s="46">
        <v>0</v>
      </c>
      <c r="AQ10" s="46" t="s">
        <v>55</v>
      </c>
      <c r="AR10" s="48">
        <v>46323</v>
      </c>
      <c r="AS10" s="48">
        <f>H10*50/100</f>
        <v>24000000</v>
      </c>
      <c r="AT10" s="48">
        <f>AI10+AJ10+AK10+AL10</f>
        <v>24000000</v>
      </c>
      <c r="AU10" s="49" t="str">
        <f t="shared" si="1"/>
        <v>VERDADERO</v>
      </c>
      <c r="AV10" s="48">
        <v>24000000</v>
      </c>
      <c r="AW10" s="47" t="s">
        <v>86</v>
      </c>
      <c r="AX10" s="45" t="s">
        <v>90</v>
      </c>
      <c r="AY10" s="52" t="s">
        <v>67</v>
      </c>
    </row>
    <row r="11" spans="1:53" s="53" customFormat="1" hidden="1" x14ac:dyDescent="0.2">
      <c r="A11" s="45" t="s">
        <v>50</v>
      </c>
      <c r="B11" s="45"/>
      <c r="C11" s="45" t="s">
        <v>91</v>
      </c>
      <c r="D11" s="47" t="s">
        <v>92</v>
      </c>
      <c r="E11" s="46">
        <v>46678285</v>
      </c>
      <c r="F11" s="48">
        <v>46051</v>
      </c>
      <c r="G11" s="48">
        <v>46231</v>
      </c>
      <c r="H11" s="49">
        <v>48000000</v>
      </c>
      <c r="I11" s="49" t="s">
        <v>53</v>
      </c>
      <c r="J11" s="49" t="s">
        <v>53</v>
      </c>
      <c r="K11" s="49" t="s">
        <v>53</v>
      </c>
      <c r="L11" s="49" t="s">
        <v>53</v>
      </c>
      <c r="M11" s="49" t="s">
        <v>53</v>
      </c>
      <c r="N11" s="46">
        <f t="shared" si="2"/>
        <v>8000000</v>
      </c>
      <c r="O11" s="49" t="s">
        <v>54</v>
      </c>
      <c r="P11" s="46">
        <v>0</v>
      </c>
      <c r="Q11" s="46">
        <v>8000000</v>
      </c>
      <c r="R11" s="49">
        <v>274</v>
      </c>
      <c r="S11" s="50">
        <v>46033</v>
      </c>
      <c r="T11" s="49">
        <v>48000000</v>
      </c>
      <c r="U11" s="49">
        <v>1131</v>
      </c>
      <c r="V11" s="49">
        <v>46051</v>
      </c>
      <c r="W11" s="49">
        <v>48000000</v>
      </c>
      <c r="X11" s="46">
        <v>46053</v>
      </c>
      <c r="Y11" s="49">
        <v>2</v>
      </c>
      <c r="Z11" s="46">
        <v>28</v>
      </c>
      <c r="AA11" s="46">
        <v>533333.32999999996</v>
      </c>
      <c r="AB11" s="46">
        <v>8000000</v>
      </c>
      <c r="AC11" s="46">
        <v>8000000</v>
      </c>
      <c r="AD11" s="46">
        <v>8000000</v>
      </c>
      <c r="AE11" s="46">
        <v>8000000</v>
      </c>
      <c r="AF11" s="46">
        <v>8000000</v>
      </c>
      <c r="AG11" s="46">
        <v>7466666.666666667</v>
      </c>
      <c r="AH11" s="46">
        <v>7466666.666666667</v>
      </c>
      <c r="AI11" s="46">
        <f>+AF11-AG11</f>
        <v>533333.33333333302</v>
      </c>
      <c r="AJ11" s="46">
        <f>+AF11</f>
        <v>8000000</v>
      </c>
      <c r="AK11" s="51">
        <f>+AJ11</f>
        <v>8000000</v>
      </c>
      <c r="AL11" s="51">
        <f>+AK11/30*28</f>
        <v>7466666.666666667</v>
      </c>
      <c r="AM11" s="51">
        <v>0</v>
      </c>
      <c r="AN11" s="51">
        <v>0</v>
      </c>
      <c r="AO11" s="51">
        <f t="shared" si="0"/>
        <v>71999999.99666667</v>
      </c>
      <c r="AP11" s="46">
        <v>0</v>
      </c>
      <c r="AQ11" s="46" t="s">
        <v>55</v>
      </c>
      <c r="AR11" s="48">
        <v>46323</v>
      </c>
      <c r="AS11" s="48">
        <v>24000000</v>
      </c>
      <c r="AT11" s="48">
        <v>24000000</v>
      </c>
      <c r="AU11" s="49" t="str">
        <f t="shared" si="1"/>
        <v>VERDADERO</v>
      </c>
      <c r="AV11" s="48">
        <v>24000000</v>
      </c>
      <c r="AW11" s="47" t="s">
        <v>86</v>
      </c>
      <c r="AX11" s="45" t="s">
        <v>93</v>
      </c>
      <c r="AY11" s="52" t="s">
        <v>58</v>
      </c>
      <c r="AZ11" s="53" t="s">
        <v>183</v>
      </c>
    </row>
    <row r="12" spans="1:53" s="53" customFormat="1" hidden="1" x14ac:dyDescent="0.2">
      <c r="A12" s="45" t="s">
        <v>50</v>
      </c>
      <c r="B12" s="45"/>
      <c r="C12" s="45" t="s">
        <v>94</v>
      </c>
      <c r="D12" s="47" t="s">
        <v>95</v>
      </c>
      <c r="E12" s="46">
        <v>53079503</v>
      </c>
      <c r="F12" s="48">
        <v>46051</v>
      </c>
      <c r="G12" s="48">
        <v>46231</v>
      </c>
      <c r="H12" s="49">
        <v>48000000</v>
      </c>
      <c r="I12" s="49" t="s">
        <v>53</v>
      </c>
      <c r="J12" s="49" t="s">
        <v>53</v>
      </c>
      <c r="K12" s="49" t="s">
        <v>53</v>
      </c>
      <c r="L12" s="49" t="s">
        <v>53</v>
      </c>
      <c r="M12" s="49" t="s">
        <v>53</v>
      </c>
      <c r="N12" s="46">
        <f t="shared" si="2"/>
        <v>8000000</v>
      </c>
      <c r="O12" s="49" t="s">
        <v>54</v>
      </c>
      <c r="P12" s="46">
        <v>0</v>
      </c>
      <c r="Q12" s="46">
        <v>8000000</v>
      </c>
      <c r="R12" s="49">
        <v>275</v>
      </c>
      <c r="S12" s="50">
        <v>46033</v>
      </c>
      <c r="T12" s="49">
        <v>48000000</v>
      </c>
      <c r="U12" s="49">
        <v>1132</v>
      </c>
      <c r="V12" s="49">
        <v>46051</v>
      </c>
      <c r="W12" s="49">
        <v>48000000</v>
      </c>
      <c r="X12" s="46">
        <v>46053</v>
      </c>
      <c r="Y12" s="49">
        <v>2</v>
      </c>
      <c r="Z12" s="46">
        <v>28</v>
      </c>
      <c r="AA12" s="46">
        <v>533333.32999999996</v>
      </c>
      <c r="AB12" s="46">
        <v>8000000</v>
      </c>
      <c r="AC12" s="46">
        <v>8000000</v>
      </c>
      <c r="AD12" s="46">
        <v>8000000</v>
      </c>
      <c r="AE12" s="46">
        <v>8000000</v>
      </c>
      <c r="AF12" s="46">
        <v>8000000</v>
      </c>
      <c r="AG12" s="46">
        <f>AF12/30*28</f>
        <v>7466666.666666667</v>
      </c>
      <c r="AH12" s="46">
        <f>AG12</f>
        <v>7466666.666666667</v>
      </c>
      <c r="AI12" s="46">
        <f>AF12-AG12</f>
        <v>533333.33333333302</v>
      </c>
      <c r="AJ12" s="46">
        <v>8000000</v>
      </c>
      <c r="AK12" s="51">
        <v>8000000</v>
      </c>
      <c r="AL12" s="51">
        <f>+AK12/30*28</f>
        <v>7466666.666666667</v>
      </c>
      <c r="AM12" s="51">
        <v>0</v>
      </c>
      <c r="AN12" s="51">
        <v>0</v>
      </c>
      <c r="AO12" s="51">
        <f t="shared" si="0"/>
        <v>71999999.99666667</v>
      </c>
      <c r="AP12" s="46">
        <v>0</v>
      </c>
      <c r="AQ12" s="46" t="s">
        <v>55</v>
      </c>
      <c r="AR12" s="48">
        <v>46323</v>
      </c>
      <c r="AS12" s="48">
        <v>24000000</v>
      </c>
      <c r="AT12" s="48">
        <v>24000000</v>
      </c>
      <c r="AU12" s="49" t="str">
        <f t="shared" si="1"/>
        <v>VERDADERO</v>
      </c>
      <c r="AV12" s="48">
        <v>24000000</v>
      </c>
      <c r="AW12" s="47" t="s">
        <v>86</v>
      </c>
      <c r="AX12" s="45" t="s">
        <v>96</v>
      </c>
      <c r="AY12" s="52" t="s">
        <v>58</v>
      </c>
    </row>
    <row r="13" spans="1:53" s="53" customFormat="1" hidden="1" x14ac:dyDescent="0.2">
      <c r="A13" s="45" t="s">
        <v>50</v>
      </c>
      <c r="B13" s="45"/>
      <c r="C13" s="45" t="s">
        <v>97</v>
      </c>
      <c r="D13" s="47" t="s">
        <v>98</v>
      </c>
      <c r="E13" s="46">
        <v>1075228159</v>
      </c>
      <c r="F13" s="48">
        <v>46052</v>
      </c>
      <c r="G13" s="48">
        <v>46232</v>
      </c>
      <c r="H13" s="49">
        <v>48000000</v>
      </c>
      <c r="I13" s="49" t="s">
        <v>53</v>
      </c>
      <c r="J13" s="49" t="s">
        <v>53</v>
      </c>
      <c r="K13" s="49" t="s">
        <v>53</v>
      </c>
      <c r="L13" s="49" t="s">
        <v>53</v>
      </c>
      <c r="M13" s="49" t="s">
        <v>53</v>
      </c>
      <c r="N13" s="46">
        <f t="shared" si="2"/>
        <v>8000000</v>
      </c>
      <c r="O13" s="49" t="s">
        <v>54</v>
      </c>
      <c r="P13" s="46">
        <v>0</v>
      </c>
      <c r="Q13" s="46">
        <v>8000000</v>
      </c>
      <c r="R13" s="49">
        <v>238</v>
      </c>
      <c r="S13" s="50">
        <v>46033</v>
      </c>
      <c r="T13" s="49">
        <v>48000000</v>
      </c>
      <c r="U13" s="49">
        <v>1175</v>
      </c>
      <c r="V13" s="49">
        <v>46052</v>
      </c>
      <c r="W13" s="49">
        <v>48000000</v>
      </c>
      <c r="X13" s="46">
        <v>46053</v>
      </c>
      <c r="Y13" s="49">
        <v>1</v>
      </c>
      <c r="Z13" s="46">
        <v>29</v>
      </c>
      <c r="AA13" s="46">
        <v>266666.67</v>
      </c>
      <c r="AB13" s="46">
        <v>8000000</v>
      </c>
      <c r="AC13" s="46">
        <v>8000000</v>
      </c>
      <c r="AD13" s="46">
        <v>8000000</v>
      </c>
      <c r="AE13" s="46">
        <v>8000000</v>
      </c>
      <c r="AF13" s="46">
        <v>8000000</v>
      </c>
      <c r="AG13" s="46">
        <v>7733333.333333334</v>
      </c>
      <c r="AH13" s="46">
        <v>7733333.333333334</v>
      </c>
      <c r="AI13" s="46">
        <v>266666.67</v>
      </c>
      <c r="AJ13" s="46">
        <v>8000000</v>
      </c>
      <c r="AK13" s="51">
        <v>8000000</v>
      </c>
      <c r="AL13" s="51">
        <v>7733333.3300000001</v>
      </c>
      <c r="AM13" s="51">
        <v>0</v>
      </c>
      <c r="AN13" s="51">
        <v>0</v>
      </c>
      <c r="AO13" s="51">
        <f t="shared" si="0"/>
        <v>72000000.003333345</v>
      </c>
      <c r="AP13" s="46">
        <v>0</v>
      </c>
      <c r="AQ13" s="46" t="s">
        <v>55</v>
      </c>
      <c r="AR13" s="48">
        <v>46324</v>
      </c>
      <c r="AS13" s="48">
        <f>H13*50/100</f>
        <v>24000000</v>
      </c>
      <c r="AT13" s="48">
        <v>24000000</v>
      </c>
      <c r="AU13" s="49" t="str">
        <f t="shared" si="1"/>
        <v>VERDADERO</v>
      </c>
      <c r="AV13" s="48">
        <v>24000000</v>
      </c>
      <c r="AW13" s="47" t="s">
        <v>86</v>
      </c>
      <c r="AX13" s="45" t="s">
        <v>99</v>
      </c>
      <c r="AY13" s="52" t="s">
        <v>58</v>
      </c>
    </row>
    <row r="14" spans="1:53" s="53" customFormat="1" ht="17.25" hidden="1" customHeight="1" x14ac:dyDescent="0.2">
      <c r="A14" s="45" t="s">
        <v>50</v>
      </c>
      <c r="B14" s="45"/>
      <c r="C14" s="45" t="s">
        <v>100</v>
      </c>
      <c r="D14" s="47" t="s">
        <v>101</v>
      </c>
      <c r="E14" s="46">
        <v>52441933</v>
      </c>
      <c r="F14" s="48">
        <v>46052</v>
      </c>
      <c r="G14" s="48">
        <v>46232</v>
      </c>
      <c r="H14" s="49">
        <v>48000000</v>
      </c>
      <c r="I14" s="49" t="s">
        <v>53</v>
      </c>
      <c r="J14" s="49" t="s">
        <v>53</v>
      </c>
      <c r="K14" s="49" t="s">
        <v>53</v>
      </c>
      <c r="L14" s="49" t="s">
        <v>53</v>
      </c>
      <c r="M14" s="49" t="s">
        <v>53</v>
      </c>
      <c r="N14" s="46">
        <f t="shared" si="2"/>
        <v>8000000</v>
      </c>
      <c r="O14" s="49" t="s">
        <v>54</v>
      </c>
      <c r="P14" s="46">
        <v>0</v>
      </c>
      <c r="Q14" s="46">
        <v>8000000</v>
      </c>
      <c r="R14" s="49">
        <v>435</v>
      </c>
      <c r="S14" s="50">
        <v>46034</v>
      </c>
      <c r="T14" s="49">
        <v>48000000</v>
      </c>
      <c r="U14" s="49">
        <v>1173</v>
      </c>
      <c r="V14" s="49">
        <v>46052</v>
      </c>
      <c r="W14" s="49">
        <v>48000000</v>
      </c>
      <c r="X14" s="46">
        <v>46053</v>
      </c>
      <c r="Y14" s="49">
        <v>1</v>
      </c>
      <c r="Z14" s="46">
        <v>29</v>
      </c>
      <c r="AA14" s="46">
        <v>266666.67</v>
      </c>
      <c r="AB14" s="46">
        <v>8000000</v>
      </c>
      <c r="AC14" s="46">
        <v>8000000</v>
      </c>
      <c r="AD14" s="46">
        <v>8000000</v>
      </c>
      <c r="AE14" s="46">
        <v>8000000</v>
      </c>
      <c r="AF14" s="46">
        <v>8000000</v>
      </c>
      <c r="AG14" s="46">
        <v>7733333.3300000001</v>
      </c>
      <c r="AH14" s="46">
        <v>7733333.333333334</v>
      </c>
      <c r="AI14" s="46">
        <f>+Q14/30*Y14</f>
        <v>266666.66666666669</v>
      </c>
      <c r="AJ14" s="46">
        <f>Q14</f>
        <v>8000000</v>
      </c>
      <c r="AK14" s="51">
        <f>+Q14</f>
        <v>8000000</v>
      </c>
      <c r="AL14" s="51">
        <v>7733333.3300000001</v>
      </c>
      <c r="AM14" s="51">
        <v>0</v>
      </c>
      <c r="AN14" s="51"/>
      <c r="AO14" s="51">
        <f t="shared" si="0"/>
        <v>71999999.99666667</v>
      </c>
      <c r="AP14" s="46">
        <f>+AO14-H14-AT14</f>
        <v>-3.3333301544189453E-3</v>
      </c>
      <c r="AQ14" s="46" t="s">
        <v>55</v>
      </c>
      <c r="AR14" s="48">
        <v>46324</v>
      </c>
      <c r="AS14" s="48">
        <f>H14*50/100</f>
        <v>24000000</v>
      </c>
      <c r="AT14" s="48">
        <v>24000000</v>
      </c>
      <c r="AU14" s="49" t="str">
        <f t="shared" si="1"/>
        <v>VERDADERO</v>
      </c>
      <c r="AV14" s="48">
        <v>24000000</v>
      </c>
      <c r="AW14" s="47" t="s">
        <v>86</v>
      </c>
      <c r="AX14" s="45" t="s">
        <v>102</v>
      </c>
      <c r="AY14" s="52" t="s">
        <v>103</v>
      </c>
    </row>
    <row r="15" spans="1:53" s="53" customFormat="1" hidden="1" x14ac:dyDescent="0.2">
      <c r="A15" s="45" t="s">
        <v>50</v>
      </c>
      <c r="B15" s="45"/>
      <c r="C15" s="45" t="s">
        <v>104</v>
      </c>
      <c r="D15" s="47" t="s">
        <v>105</v>
      </c>
      <c r="E15" s="46">
        <v>32797993</v>
      </c>
      <c r="F15" s="48">
        <v>46047</v>
      </c>
      <c r="G15" s="48">
        <v>46227</v>
      </c>
      <c r="H15" s="49">
        <v>34536150</v>
      </c>
      <c r="I15" s="49" t="s">
        <v>53</v>
      </c>
      <c r="J15" s="49" t="s">
        <v>53</v>
      </c>
      <c r="K15" s="49" t="s">
        <v>53</v>
      </c>
      <c r="L15" s="49" t="s">
        <v>53</v>
      </c>
      <c r="M15" s="49" t="s">
        <v>53</v>
      </c>
      <c r="N15" s="46">
        <f t="shared" si="2"/>
        <v>5756025</v>
      </c>
      <c r="O15" s="49" t="s">
        <v>54</v>
      </c>
      <c r="P15" s="46">
        <v>0</v>
      </c>
      <c r="Q15" s="46">
        <f>N15+P15</f>
        <v>5756025</v>
      </c>
      <c r="R15" s="49">
        <v>364</v>
      </c>
      <c r="S15" s="49">
        <v>46034</v>
      </c>
      <c r="T15" s="49">
        <v>34536150</v>
      </c>
      <c r="U15" s="49">
        <v>577</v>
      </c>
      <c r="V15" s="49">
        <v>46047</v>
      </c>
      <c r="W15" s="49">
        <v>34536150</v>
      </c>
      <c r="X15" s="46">
        <v>46053</v>
      </c>
      <c r="Y15" s="49">
        <v>6</v>
      </c>
      <c r="Z15" s="46">
        <v>24</v>
      </c>
      <c r="AA15" s="46">
        <v>1151205</v>
      </c>
      <c r="AB15" s="46">
        <v>5756025</v>
      </c>
      <c r="AC15" s="46">
        <v>5756025</v>
      </c>
      <c r="AD15" s="46">
        <v>5756025</v>
      </c>
      <c r="AE15" s="46">
        <v>5756025</v>
      </c>
      <c r="AF15" s="46">
        <v>5756025</v>
      </c>
      <c r="AG15" s="46">
        <f>Q15/30*24</f>
        <v>4604820</v>
      </c>
      <c r="AH15" s="46">
        <f>AG15</f>
        <v>4604820</v>
      </c>
      <c r="AI15" s="46">
        <f>Q15/30*6</f>
        <v>1151205</v>
      </c>
      <c r="AJ15" s="46">
        <f>+Q15</f>
        <v>5756025</v>
      </c>
      <c r="AK15" s="51">
        <f>+AJ15</f>
        <v>5756025</v>
      </c>
      <c r="AL15" s="51">
        <f>Q15/30*24</f>
        <v>4604820</v>
      </c>
      <c r="AM15" s="51">
        <v>0</v>
      </c>
      <c r="AN15" s="51">
        <v>0</v>
      </c>
      <c r="AO15" s="51">
        <f t="shared" si="0"/>
        <v>51804225</v>
      </c>
      <c r="AP15" s="46">
        <v>0</v>
      </c>
      <c r="AQ15" s="46" t="s">
        <v>55</v>
      </c>
      <c r="AR15" s="48">
        <v>46319</v>
      </c>
      <c r="AS15" s="48">
        <f>H15*0.5</f>
        <v>17268075</v>
      </c>
      <c r="AT15" s="48">
        <f>AI15+AJ15+AK15+AL15</f>
        <v>17268075</v>
      </c>
      <c r="AU15" s="49" t="str">
        <f t="shared" si="1"/>
        <v>VERDADERO</v>
      </c>
      <c r="AV15" s="48">
        <v>17268075</v>
      </c>
      <c r="AW15" s="47" t="s">
        <v>106</v>
      </c>
      <c r="AX15" s="45" t="s">
        <v>107</v>
      </c>
      <c r="AY15" s="52" t="s">
        <v>58</v>
      </c>
    </row>
    <row r="16" spans="1:53" s="53" customFormat="1" hidden="1" x14ac:dyDescent="0.2">
      <c r="A16" s="45" t="s">
        <v>50</v>
      </c>
      <c r="B16" s="45"/>
      <c r="C16" s="45" t="s">
        <v>109</v>
      </c>
      <c r="D16" s="47" t="s">
        <v>110</v>
      </c>
      <c r="E16" s="46">
        <v>52835696</v>
      </c>
      <c r="F16" s="48">
        <v>46048</v>
      </c>
      <c r="G16" s="48">
        <v>46228</v>
      </c>
      <c r="H16" s="49">
        <v>34536150</v>
      </c>
      <c r="I16" s="49" t="s">
        <v>53</v>
      </c>
      <c r="J16" s="49" t="s">
        <v>53</v>
      </c>
      <c r="K16" s="49" t="s">
        <v>53</v>
      </c>
      <c r="L16" s="49" t="s">
        <v>53</v>
      </c>
      <c r="M16" s="49" t="s">
        <v>53</v>
      </c>
      <c r="N16" s="46">
        <f t="shared" si="2"/>
        <v>5756025</v>
      </c>
      <c r="O16" s="49" t="s">
        <v>54</v>
      </c>
      <c r="P16" s="46">
        <v>0</v>
      </c>
      <c r="Q16" s="46">
        <v>5756025</v>
      </c>
      <c r="R16" s="49">
        <v>257</v>
      </c>
      <c r="S16" s="49">
        <v>46033</v>
      </c>
      <c r="T16" s="49">
        <v>34536150</v>
      </c>
      <c r="U16" s="49">
        <v>579</v>
      </c>
      <c r="V16" s="49">
        <v>46047</v>
      </c>
      <c r="W16" s="49">
        <v>34536150</v>
      </c>
      <c r="X16" s="46">
        <v>46053</v>
      </c>
      <c r="Y16" s="49">
        <v>5</v>
      </c>
      <c r="Z16" s="46">
        <v>25</v>
      </c>
      <c r="AA16" s="46">
        <v>959337.5</v>
      </c>
      <c r="AB16" s="46">
        <v>5756025</v>
      </c>
      <c r="AC16" s="46">
        <v>5756025</v>
      </c>
      <c r="AD16" s="46">
        <v>5756025</v>
      </c>
      <c r="AE16" s="46">
        <v>5756025</v>
      </c>
      <c r="AF16" s="46">
        <v>5756025</v>
      </c>
      <c r="AG16" s="46">
        <f>Q16/30*25</f>
        <v>4796687.5</v>
      </c>
      <c r="AH16" s="46">
        <f>AG16</f>
        <v>4796687.5</v>
      </c>
      <c r="AI16" s="46">
        <f>Q16/30*5</f>
        <v>959337.5</v>
      </c>
      <c r="AJ16" s="46">
        <f>Q16</f>
        <v>5756025</v>
      </c>
      <c r="AK16" s="51">
        <f>AJ16</f>
        <v>5756025</v>
      </c>
      <c r="AL16" s="51">
        <f>Q16/30*25</f>
        <v>4796687.5</v>
      </c>
      <c r="AM16" s="51">
        <v>0</v>
      </c>
      <c r="AN16" s="51">
        <v>0</v>
      </c>
      <c r="AO16" s="51">
        <f t="shared" si="0"/>
        <v>51804225</v>
      </c>
      <c r="AP16" s="46">
        <v>0</v>
      </c>
      <c r="AQ16" s="46" t="s">
        <v>55</v>
      </c>
      <c r="AR16" s="48">
        <v>46320</v>
      </c>
      <c r="AS16" s="48">
        <v>17268075</v>
      </c>
      <c r="AT16" s="48">
        <v>17268075</v>
      </c>
      <c r="AU16" s="49" t="str">
        <f t="shared" si="1"/>
        <v>VERDADERO</v>
      </c>
      <c r="AV16" s="48">
        <v>17268075</v>
      </c>
      <c r="AW16" s="47" t="s">
        <v>106</v>
      </c>
      <c r="AX16" s="45" t="s">
        <v>111</v>
      </c>
      <c r="AY16" s="52" t="s">
        <v>67</v>
      </c>
    </row>
    <row r="17" spans="1:52" s="53" customFormat="1" hidden="1" x14ac:dyDescent="0.2">
      <c r="A17" s="45" t="s">
        <v>50</v>
      </c>
      <c r="B17" s="45"/>
      <c r="C17" s="45" t="s">
        <v>112</v>
      </c>
      <c r="D17" s="47" t="s">
        <v>113</v>
      </c>
      <c r="E17" s="46">
        <v>1022349594</v>
      </c>
      <c r="F17" s="48">
        <v>46047</v>
      </c>
      <c r="G17" s="48">
        <v>46227</v>
      </c>
      <c r="H17" s="49">
        <v>34536150</v>
      </c>
      <c r="I17" s="49" t="s">
        <v>53</v>
      </c>
      <c r="J17" s="49" t="s">
        <v>53</v>
      </c>
      <c r="K17" s="49" t="s">
        <v>53</v>
      </c>
      <c r="L17" s="49" t="s">
        <v>53</v>
      </c>
      <c r="M17" s="49" t="s">
        <v>53</v>
      </c>
      <c r="N17" s="46">
        <f t="shared" si="2"/>
        <v>5756025</v>
      </c>
      <c r="O17" s="49" t="s">
        <v>54</v>
      </c>
      <c r="P17" s="46">
        <v>0</v>
      </c>
      <c r="Q17" s="46">
        <v>5756025</v>
      </c>
      <c r="R17" s="49">
        <v>365</v>
      </c>
      <c r="S17" s="49">
        <v>46034</v>
      </c>
      <c r="T17" s="49">
        <v>34536150</v>
      </c>
      <c r="U17" s="49">
        <v>587</v>
      </c>
      <c r="V17" s="49">
        <v>46047</v>
      </c>
      <c r="W17" s="49">
        <v>34536150</v>
      </c>
      <c r="X17" s="46">
        <v>46053</v>
      </c>
      <c r="Y17" s="49">
        <v>6</v>
      </c>
      <c r="Z17" s="46">
        <v>24</v>
      </c>
      <c r="AA17" s="46">
        <v>1151205</v>
      </c>
      <c r="AB17" s="46">
        <v>5756025</v>
      </c>
      <c r="AC17" s="46">
        <v>5756025</v>
      </c>
      <c r="AD17" s="46">
        <v>5756025</v>
      </c>
      <c r="AE17" s="46">
        <v>5756025</v>
      </c>
      <c r="AF17" s="46">
        <v>5756025</v>
      </c>
      <c r="AG17" s="46">
        <v>4604820</v>
      </c>
      <c r="AH17" s="46">
        <v>4604820</v>
      </c>
      <c r="AI17" s="46">
        <f>+AF17-AG17</f>
        <v>1151205</v>
      </c>
      <c r="AJ17" s="46">
        <f>+AF17</f>
        <v>5756025</v>
      </c>
      <c r="AK17" s="51">
        <f>+AJ17</f>
        <v>5756025</v>
      </c>
      <c r="AL17" s="51">
        <f>+AK17/30*24</f>
        <v>4604820</v>
      </c>
      <c r="AM17" s="51">
        <v>0</v>
      </c>
      <c r="AN17" s="51">
        <v>0</v>
      </c>
      <c r="AO17" s="51">
        <f t="shared" si="0"/>
        <v>51804225</v>
      </c>
      <c r="AP17" s="46">
        <v>0</v>
      </c>
      <c r="AQ17" s="46" t="s">
        <v>55</v>
      </c>
      <c r="AR17" s="48">
        <v>46319</v>
      </c>
      <c r="AS17" s="48">
        <v>17268075</v>
      </c>
      <c r="AT17" s="48">
        <v>17268075</v>
      </c>
      <c r="AU17" s="49" t="str">
        <f t="shared" ref="AU17:AU33" si="3">IF(AS17&gt;=AT17, "VERDADERO", "FALSO")</f>
        <v>VERDADERO</v>
      </c>
      <c r="AV17" s="48">
        <v>17268075</v>
      </c>
      <c r="AW17" s="47" t="s">
        <v>106</v>
      </c>
      <c r="AX17" s="45" t="s">
        <v>114</v>
      </c>
      <c r="AY17" s="52" t="s">
        <v>58</v>
      </c>
    </row>
    <row r="18" spans="1:52" s="53" customFormat="1" hidden="1" x14ac:dyDescent="0.2">
      <c r="A18" s="45" t="s">
        <v>50</v>
      </c>
      <c r="B18" s="45"/>
      <c r="C18" s="45" t="s">
        <v>115</v>
      </c>
      <c r="D18" s="47" t="s">
        <v>116</v>
      </c>
      <c r="E18" s="46">
        <v>1014225483</v>
      </c>
      <c r="F18" s="48">
        <v>46048</v>
      </c>
      <c r="G18" s="48">
        <v>46228</v>
      </c>
      <c r="H18" s="49">
        <v>34536150</v>
      </c>
      <c r="I18" s="49" t="s">
        <v>53</v>
      </c>
      <c r="J18" s="49" t="s">
        <v>53</v>
      </c>
      <c r="K18" s="49" t="s">
        <v>53</v>
      </c>
      <c r="L18" s="49" t="s">
        <v>53</v>
      </c>
      <c r="M18" s="49" t="s">
        <v>53</v>
      </c>
      <c r="N18" s="46">
        <f t="shared" si="2"/>
        <v>5756025</v>
      </c>
      <c r="O18" s="49" t="s">
        <v>54</v>
      </c>
      <c r="P18" s="46">
        <v>0</v>
      </c>
      <c r="Q18" s="46">
        <v>5756025</v>
      </c>
      <c r="R18" s="49">
        <v>220</v>
      </c>
      <c r="S18" s="49">
        <v>46033</v>
      </c>
      <c r="T18" s="49">
        <v>34536150</v>
      </c>
      <c r="U18" s="49">
        <v>651</v>
      </c>
      <c r="V18" s="49">
        <v>46048</v>
      </c>
      <c r="W18" s="49">
        <v>34536150</v>
      </c>
      <c r="X18" s="46">
        <v>46053</v>
      </c>
      <c r="Y18" s="49">
        <v>5</v>
      </c>
      <c r="Z18" s="46">
        <v>25</v>
      </c>
      <c r="AA18" s="46">
        <v>959337.5</v>
      </c>
      <c r="AB18" s="46">
        <v>5756025</v>
      </c>
      <c r="AC18" s="46">
        <v>5756025</v>
      </c>
      <c r="AD18" s="46">
        <v>5756025</v>
      </c>
      <c r="AE18" s="46">
        <v>5756025</v>
      </c>
      <c r="AF18" s="46">
        <v>5756025</v>
      </c>
      <c r="AG18" s="46">
        <v>4796687.5</v>
      </c>
      <c r="AH18" s="46">
        <v>4796687.5</v>
      </c>
      <c r="AI18" s="46">
        <v>959337.5</v>
      </c>
      <c r="AJ18" s="46">
        <f>+AF18</f>
        <v>5756025</v>
      </c>
      <c r="AK18" s="51">
        <f>+AJ18</f>
        <v>5756025</v>
      </c>
      <c r="AL18" s="51">
        <v>4796687.5</v>
      </c>
      <c r="AM18" s="51">
        <v>0</v>
      </c>
      <c r="AN18" s="51">
        <v>0</v>
      </c>
      <c r="AO18" s="51">
        <f t="shared" si="0"/>
        <v>51804225</v>
      </c>
      <c r="AP18" s="46">
        <v>0</v>
      </c>
      <c r="AQ18" s="46" t="s">
        <v>55</v>
      </c>
      <c r="AR18" s="48">
        <v>46320</v>
      </c>
      <c r="AS18" s="48">
        <v>17268075</v>
      </c>
      <c r="AT18" s="48">
        <v>17268075</v>
      </c>
      <c r="AU18" s="49" t="str">
        <f t="shared" si="3"/>
        <v>VERDADERO</v>
      </c>
      <c r="AV18" s="48">
        <v>17268075</v>
      </c>
      <c r="AW18" s="47" t="s">
        <v>106</v>
      </c>
      <c r="AX18" s="45" t="s">
        <v>117</v>
      </c>
      <c r="AY18" s="52" t="s">
        <v>58</v>
      </c>
    </row>
    <row r="19" spans="1:52" s="53" customFormat="1" hidden="1" x14ac:dyDescent="0.2">
      <c r="A19" s="45" t="s">
        <v>50</v>
      </c>
      <c r="B19" s="45"/>
      <c r="C19" s="45" t="s">
        <v>118</v>
      </c>
      <c r="D19" s="47" t="s">
        <v>119</v>
      </c>
      <c r="E19" s="46">
        <v>79372817</v>
      </c>
      <c r="F19" s="48">
        <v>46042</v>
      </c>
      <c r="G19" s="48">
        <v>46222</v>
      </c>
      <c r="H19" s="49">
        <v>29739198</v>
      </c>
      <c r="I19" s="49" t="s">
        <v>53</v>
      </c>
      <c r="J19" s="49" t="s">
        <v>53</v>
      </c>
      <c r="K19" s="49" t="s">
        <v>53</v>
      </c>
      <c r="L19" s="49" t="s">
        <v>53</v>
      </c>
      <c r="M19" s="49" t="s">
        <v>53</v>
      </c>
      <c r="N19" s="46">
        <f t="shared" si="2"/>
        <v>4956533</v>
      </c>
      <c r="O19" s="49" t="s">
        <v>54</v>
      </c>
      <c r="P19" s="46">
        <v>0</v>
      </c>
      <c r="Q19" s="46">
        <v>4956533</v>
      </c>
      <c r="R19" s="49">
        <v>392</v>
      </c>
      <c r="S19" s="49">
        <v>46033</v>
      </c>
      <c r="T19" s="49">
        <v>29739198</v>
      </c>
      <c r="U19" s="49">
        <v>325</v>
      </c>
      <c r="V19" s="49">
        <v>46041</v>
      </c>
      <c r="W19" s="49">
        <v>29739198</v>
      </c>
      <c r="X19" s="46">
        <v>46053</v>
      </c>
      <c r="Y19" s="49">
        <v>11</v>
      </c>
      <c r="Z19" s="46">
        <v>19</v>
      </c>
      <c r="AA19" s="46">
        <v>1817395.43</v>
      </c>
      <c r="AB19" s="46">
        <v>4956533</v>
      </c>
      <c r="AC19" s="46">
        <v>4956533</v>
      </c>
      <c r="AD19" s="46">
        <v>4956533</v>
      </c>
      <c r="AE19" s="46">
        <v>4956533</v>
      </c>
      <c r="AF19" s="46">
        <v>4956533</v>
      </c>
      <c r="AG19" s="46">
        <v>3139137.5666666664</v>
      </c>
      <c r="AH19" s="46">
        <v>3139137.5666666664</v>
      </c>
      <c r="AI19" s="46">
        <v>1817395.43</v>
      </c>
      <c r="AJ19" s="46">
        <v>4956533</v>
      </c>
      <c r="AK19" s="51">
        <v>4956533</v>
      </c>
      <c r="AL19" s="51">
        <v>3139137.57</v>
      </c>
      <c r="AM19" s="51">
        <v>0</v>
      </c>
      <c r="AN19" s="51">
        <v>0</v>
      </c>
      <c r="AO19" s="51">
        <f t="shared" si="0"/>
        <v>44608796.996666662</v>
      </c>
      <c r="AP19" s="46">
        <v>0</v>
      </c>
      <c r="AQ19" s="46" t="s">
        <v>55</v>
      </c>
      <c r="AR19" s="48">
        <v>46314</v>
      </c>
      <c r="AS19" s="48">
        <f>H19*50/100</f>
        <v>14869599</v>
      </c>
      <c r="AT19" s="48">
        <v>14869599</v>
      </c>
      <c r="AU19" s="49" t="str">
        <f t="shared" si="3"/>
        <v>VERDADERO</v>
      </c>
      <c r="AV19" s="48">
        <v>14869599</v>
      </c>
      <c r="AW19" s="47" t="s">
        <v>120</v>
      </c>
      <c r="AX19" s="45" t="s">
        <v>121</v>
      </c>
      <c r="AY19" s="52" t="s">
        <v>58</v>
      </c>
    </row>
    <row r="20" spans="1:52" s="53" customFormat="1" hidden="1" x14ac:dyDescent="0.2">
      <c r="A20" s="45" t="s">
        <v>50</v>
      </c>
      <c r="B20" s="45"/>
      <c r="C20" s="45" t="s">
        <v>122</v>
      </c>
      <c r="D20" s="47" t="s">
        <v>123</v>
      </c>
      <c r="E20" s="46">
        <v>32797302</v>
      </c>
      <c r="F20" s="48">
        <v>46045</v>
      </c>
      <c r="G20" s="48">
        <v>46225</v>
      </c>
      <c r="H20" s="49">
        <v>29739198</v>
      </c>
      <c r="I20" s="49" t="s">
        <v>53</v>
      </c>
      <c r="J20" s="49" t="s">
        <v>53</v>
      </c>
      <c r="K20" s="49" t="s">
        <v>53</v>
      </c>
      <c r="L20" s="49" t="s">
        <v>53</v>
      </c>
      <c r="M20" s="49" t="s">
        <v>53</v>
      </c>
      <c r="N20" s="46">
        <f t="shared" si="2"/>
        <v>4956533</v>
      </c>
      <c r="O20" s="49" t="s">
        <v>54</v>
      </c>
      <c r="P20" s="46">
        <v>0</v>
      </c>
      <c r="Q20" s="46">
        <v>4956533</v>
      </c>
      <c r="R20" s="49">
        <v>221</v>
      </c>
      <c r="S20" s="49">
        <v>46033</v>
      </c>
      <c r="T20" s="49">
        <v>29739198</v>
      </c>
      <c r="U20" s="49">
        <v>430</v>
      </c>
      <c r="V20" s="49">
        <v>46043</v>
      </c>
      <c r="W20" s="49">
        <v>29739198</v>
      </c>
      <c r="X20" s="46">
        <v>46053</v>
      </c>
      <c r="Y20" s="49">
        <v>8</v>
      </c>
      <c r="Z20" s="46">
        <v>22</v>
      </c>
      <c r="AA20" s="46">
        <v>1321742.1299999999</v>
      </c>
      <c r="AB20" s="46">
        <v>4956533</v>
      </c>
      <c r="AC20" s="46">
        <v>4956533</v>
      </c>
      <c r="AD20" s="46">
        <v>4956533</v>
      </c>
      <c r="AE20" s="46">
        <v>4956533</v>
      </c>
      <c r="AF20" s="46">
        <v>4956533</v>
      </c>
      <c r="AG20" s="46">
        <v>3634790.87</v>
      </c>
      <c r="AH20" s="46">
        <v>3634790.8666666667</v>
      </c>
      <c r="AI20" s="46">
        <f>+Q20/30*Y20</f>
        <v>1321742.1333333333</v>
      </c>
      <c r="AJ20" s="46">
        <f>Q20</f>
        <v>4956533</v>
      </c>
      <c r="AK20" s="51">
        <f>+Q20</f>
        <v>4956533</v>
      </c>
      <c r="AL20" s="51">
        <v>3634790.87</v>
      </c>
      <c r="AM20" s="51">
        <v>0</v>
      </c>
      <c r="AN20" s="51"/>
      <c r="AO20" s="51">
        <f t="shared" si="0"/>
        <v>44608797.00333333</v>
      </c>
      <c r="AP20" s="46">
        <f>+AO20-H20-AT20</f>
        <v>3.3333301544189453E-3</v>
      </c>
      <c r="AQ20" s="46" t="s">
        <v>55</v>
      </c>
      <c r="AR20" s="48">
        <v>46317</v>
      </c>
      <c r="AS20" s="48">
        <f>H20*50/100</f>
        <v>14869599</v>
      </c>
      <c r="AT20" s="48">
        <v>14869599</v>
      </c>
      <c r="AU20" s="49" t="str">
        <f t="shared" si="3"/>
        <v>VERDADERO</v>
      </c>
      <c r="AV20" s="48">
        <v>14869599</v>
      </c>
      <c r="AW20" s="47" t="s">
        <v>120</v>
      </c>
      <c r="AX20" s="45" t="s">
        <v>124</v>
      </c>
      <c r="AY20" s="52" t="s">
        <v>58</v>
      </c>
    </row>
    <row r="21" spans="1:52" s="53" customFormat="1" hidden="1" x14ac:dyDescent="0.2">
      <c r="A21" s="45" t="s">
        <v>50</v>
      </c>
      <c r="B21" s="45"/>
      <c r="C21" s="45" t="s">
        <v>125</v>
      </c>
      <c r="D21" s="47" t="s">
        <v>126</v>
      </c>
      <c r="E21" s="46">
        <v>1010192076</v>
      </c>
      <c r="F21" s="48">
        <v>46044</v>
      </c>
      <c r="G21" s="48">
        <v>46224</v>
      </c>
      <c r="H21" s="49">
        <v>29739198</v>
      </c>
      <c r="I21" s="49" t="s">
        <v>53</v>
      </c>
      <c r="J21" s="49" t="s">
        <v>53</v>
      </c>
      <c r="K21" s="49" t="s">
        <v>53</v>
      </c>
      <c r="L21" s="49" t="s">
        <v>53</v>
      </c>
      <c r="M21" s="49" t="s">
        <v>53</v>
      </c>
      <c r="N21" s="46">
        <f t="shared" si="2"/>
        <v>4956533</v>
      </c>
      <c r="O21" s="49" t="s">
        <v>54</v>
      </c>
      <c r="P21" s="46">
        <v>0</v>
      </c>
      <c r="Q21" s="46">
        <v>4956533</v>
      </c>
      <c r="R21" s="49">
        <v>332</v>
      </c>
      <c r="S21" s="49">
        <v>46033</v>
      </c>
      <c r="T21" s="49">
        <v>29739198</v>
      </c>
      <c r="U21" s="49">
        <v>481</v>
      </c>
      <c r="V21" s="49">
        <v>46044</v>
      </c>
      <c r="W21" s="49">
        <v>29739198</v>
      </c>
      <c r="X21" s="46">
        <v>46053</v>
      </c>
      <c r="Y21" s="49">
        <v>9</v>
      </c>
      <c r="Z21" s="46">
        <v>21</v>
      </c>
      <c r="AA21" s="46">
        <v>1486959.9</v>
      </c>
      <c r="AB21" s="46">
        <v>4956533</v>
      </c>
      <c r="AC21" s="46">
        <v>4956533</v>
      </c>
      <c r="AD21" s="46">
        <v>4956533</v>
      </c>
      <c r="AE21" s="46">
        <v>4956533</v>
      </c>
      <c r="AF21" s="46">
        <v>4956533</v>
      </c>
      <c r="AG21" s="46">
        <v>3469573.1</v>
      </c>
      <c r="AH21" s="46">
        <v>3469573.1</v>
      </c>
      <c r="AI21" s="46">
        <f>+Q21/30*Y21</f>
        <v>1486959.9</v>
      </c>
      <c r="AJ21" s="46">
        <f>AF21</f>
        <v>4956533</v>
      </c>
      <c r="AK21" s="51">
        <f>+AJ21</f>
        <v>4956533</v>
      </c>
      <c r="AL21" s="51">
        <f>+AH21</f>
        <v>3469573.1</v>
      </c>
      <c r="AM21" s="51">
        <v>0</v>
      </c>
      <c r="AN21" s="51">
        <v>0</v>
      </c>
      <c r="AO21" s="51">
        <f t="shared" si="0"/>
        <v>44608797</v>
      </c>
      <c r="AP21" s="46">
        <v>0</v>
      </c>
      <c r="AQ21" s="46" t="s">
        <v>55</v>
      </c>
      <c r="AR21" s="48">
        <v>46316</v>
      </c>
      <c r="AS21" s="48">
        <v>14869599</v>
      </c>
      <c r="AT21" s="48">
        <v>14869599</v>
      </c>
      <c r="AU21" s="49" t="str">
        <f t="shared" si="3"/>
        <v>VERDADERO</v>
      </c>
      <c r="AV21" s="48">
        <v>14869599</v>
      </c>
      <c r="AW21" s="47" t="s">
        <v>120</v>
      </c>
      <c r="AX21" s="45" t="s">
        <v>127</v>
      </c>
      <c r="AY21" s="52" t="s">
        <v>58</v>
      </c>
    </row>
    <row r="22" spans="1:52" s="53" customFormat="1" hidden="1" x14ac:dyDescent="0.2">
      <c r="A22" s="45" t="s">
        <v>50</v>
      </c>
      <c r="B22" s="45"/>
      <c r="C22" s="45" t="s">
        <v>128</v>
      </c>
      <c r="D22" s="47" t="s">
        <v>129</v>
      </c>
      <c r="E22" s="46">
        <v>52913802</v>
      </c>
      <c r="F22" s="48">
        <v>46044</v>
      </c>
      <c r="G22" s="48">
        <v>46224</v>
      </c>
      <c r="H22" s="49">
        <v>29739198</v>
      </c>
      <c r="I22" s="49" t="s">
        <v>53</v>
      </c>
      <c r="J22" s="49" t="s">
        <v>53</v>
      </c>
      <c r="K22" s="49" t="s">
        <v>53</v>
      </c>
      <c r="L22" s="49" t="s">
        <v>53</v>
      </c>
      <c r="M22" s="49" t="s">
        <v>53</v>
      </c>
      <c r="N22" s="46">
        <f t="shared" si="2"/>
        <v>4956533</v>
      </c>
      <c r="O22" s="49" t="s">
        <v>54</v>
      </c>
      <c r="P22" s="46">
        <v>0</v>
      </c>
      <c r="Q22" s="46">
        <v>4956533</v>
      </c>
      <c r="R22" s="49">
        <v>448</v>
      </c>
      <c r="S22" s="49">
        <v>46034</v>
      </c>
      <c r="T22" s="49">
        <v>29739198</v>
      </c>
      <c r="U22" s="49">
        <v>439</v>
      </c>
      <c r="V22" s="49">
        <v>46043</v>
      </c>
      <c r="W22" s="49">
        <v>29739198</v>
      </c>
      <c r="X22" s="46">
        <v>46053</v>
      </c>
      <c r="Y22" s="49">
        <v>9</v>
      </c>
      <c r="Z22" s="46">
        <v>21</v>
      </c>
      <c r="AA22" s="46">
        <v>1486959.9</v>
      </c>
      <c r="AB22" s="46">
        <v>4956533</v>
      </c>
      <c r="AC22" s="46">
        <v>4956533</v>
      </c>
      <c r="AD22" s="46">
        <v>4956533</v>
      </c>
      <c r="AE22" s="46">
        <v>4956533</v>
      </c>
      <c r="AF22" s="46">
        <v>4956533</v>
      </c>
      <c r="AG22" s="46">
        <f>Q22/30*21</f>
        <v>3469573.1</v>
      </c>
      <c r="AH22" s="46">
        <f>AG22</f>
        <v>3469573.1</v>
      </c>
      <c r="AI22" s="46">
        <f>Q22/30*9</f>
        <v>1486959.9</v>
      </c>
      <c r="AJ22" s="46">
        <f>Q22</f>
        <v>4956533</v>
      </c>
      <c r="AK22" s="51">
        <f>AJ22</f>
        <v>4956533</v>
      </c>
      <c r="AL22" s="51">
        <f>Q22/30*21</f>
        <v>3469573.1</v>
      </c>
      <c r="AM22" s="51">
        <v>0</v>
      </c>
      <c r="AN22" s="51">
        <v>0</v>
      </c>
      <c r="AO22" s="51">
        <f t="shared" si="0"/>
        <v>44608797</v>
      </c>
      <c r="AP22" s="46">
        <v>0</v>
      </c>
      <c r="AQ22" s="46" t="s">
        <v>55</v>
      </c>
      <c r="AR22" s="48">
        <v>46316</v>
      </c>
      <c r="AS22" s="48">
        <v>14869599</v>
      </c>
      <c r="AT22" s="48">
        <v>14869599</v>
      </c>
      <c r="AU22" s="49" t="str">
        <f t="shared" si="3"/>
        <v>VERDADERO</v>
      </c>
      <c r="AV22" s="48">
        <v>14869599</v>
      </c>
      <c r="AW22" s="47" t="s">
        <v>120</v>
      </c>
      <c r="AX22" s="45" t="s">
        <v>130</v>
      </c>
      <c r="AY22" s="52" t="s">
        <v>67</v>
      </c>
    </row>
    <row r="23" spans="1:52" s="53" customFormat="1" hidden="1" x14ac:dyDescent="0.2">
      <c r="A23" s="45" t="s">
        <v>50</v>
      </c>
      <c r="B23" s="45"/>
      <c r="C23" s="45" t="s">
        <v>131</v>
      </c>
      <c r="D23" s="47" t="s">
        <v>132</v>
      </c>
      <c r="E23" s="46">
        <v>53068984</v>
      </c>
      <c r="F23" s="48">
        <v>46044</v>
      </c>
      <c r="G23" s="48">
        <v>46224</v>
      </c>
      <c r="H23" s="49">
        <v>29739198</v>
      </c>
      <c r="I23" s="49" t="s">
        <v>53</v>
      </c>
      <c r="J23" s="49" t="s">
        <v>53</v>
      </c>
      <c r="K23" s="49" t="s">
        <v>53</v>
      </c>
      <c r="L23" s="49" t="s">
        <v>53</v>
      </c>
      <c r="M23" s="49" t="s">
        <v>53</v>
      </c>
      <c r="N23" s="46">
        <f t="shared" si="2"/>
        <v>4956533</v>
      </c>
      <c r="O23" s="49" t="s">
        <v>54</v>
      </c>
      <c r="P23" s="46">
        <v>0</v>
      </c>
      <c r="Q23" s="46">
        <v>4956533</v>
      </c>
      <c r="R23" s="49">
        <v>419</v>
      </c>
      <c r="S23" s="49">
        <v>46034</v>
      </c>
      <c r="T23" s="49">
        <v>29739198</v>
      </c>
      <c r="U23" s="49">
        <v>444</v>
      </c>
      <c r="V23" s="49">
        <v>46043</v>
      </c>
      <c r="W23" s="49">
        <v>29739198</v>
      </c>
      <c r="X23" s="46">
        <v>46053</v>
      </c>
      <c r="Y23" s="49">
        <v>9</v>
      </c>
      <c r="Z23" s="46">
        <v>21</v>
      </c>
      <c r="AA23" s="46">
        <v>1486959.9</v>
      </c>
      <c r="AB23" s="46">
        <v>4956533</v>
      </c>
      <c r="AC23" s="46">
        <v>4956533</v>
      </c>
      <c r="AD23" s="46">
        <v>4956533</v>
      </c>
      <c r="AE23" s="46">
        <v>4956533</v>
      </c>
      <c r="AF23" s="46">
        <v>4956533</v>
      </c>
      <c r="AG23" s="46">
        <v>3469573.1</v>
      </c>
      <c r="AH23" s="46">
        <v>3469573.1</v>
      </c>
      <c r="AI23" s="46">
        <f>+AF23-AG23</f>
        <v>1486959.9</v>
      </c>
      <c r="AJ23" s="46">
        <f>+AF23</f>
        <v>4956533</v>
      </c>
      <c r="AK23" s="51">
        <f>+AJ23</f>
        <v>4956533</v>
      </c>
      <c r="AL23" s="51">
        <f>+AK23/30*21</f>
        <v>3469573.1</v>
      </c>
      <c r="AM23" s="51">
        <v>0</v>
      </c>
      <c r="AN23" s="51">
        <v>0</v>
      </c>
      <c r="AO23" s="51">
        <f t="shared" si="0"/>
        <v>44608797</v>
      </c>
      <c r="AP23" s="46">
        <v>0</v>
      </c>
      <c r="AQ23" s="46" t="s">
        <v>55</v>
      </c>
      <c r="AR23" s="48">
        <v>46316</v>
      </c>
      <c r="AS23" s="48">
        <v>14869599</v>
      </c>
      <c r="AT23" s="48">
        <v>14869599</v>
      </c>
      <c r="AU23" s="49" t="str">
        <f t="shared" si="3"/>
        <v>VERDADERO</v>
      </c>
      <c r="AV23" s="48">
        <v>14869599</v>
      </c>
      <c r="AW23" s="47" t="s">
        <v>120</v>
      </c>
      <c r="AX23" s="45" t="s">
        <v>133</v>
      </c>
      <c r="AY23" s="52" t="s">
        <v>58</v>
      </c>
    </row>
    <row r="24" spans="1:52" s="53" customFormat="1" hidden="1" x14ac:dyDescent="0.2">
      <c r="A24" s="45" t="s">
        <v>50</v>
      </c>
      <c r="B24" s="45"/>
      <c r="C24" s="45" t="s">
        <v>134</v>
      </c>
      <c r="D24" s="47" t="s">
        <v>135</v>
      </c>
      <c r="E24" s="46">
        <v>52109604</v>
      </c>
      <c r="F24" s="48">
        <v>46044</v>
      </c>
      <c r="G24" s="48">
        <v>46224</v>
      </c>
      <c r="H24" s="49">
        <v>29739198</v>
      </c>
      <c r="I24" s="49" t="s">
        <v>53</v>
      </c>
      <c r="J24" s="49" t="s">
        <v>53</v>
      </c>
      <c r="K24" s="49" t="s">
        <v>53</v>
      </c>
      <c r="L24" s="49" t="s">
        <v>53</v>
      </c>
      <c r="M24" s="49" t="s">
        <v>53</v>
      </c>
      <c r="N24" s="46">
        <f t="shared" si="2"/>
        <v>4956533</v>
      </c>
      <c r="O24" s="49" t="s">
        <v>54</v>
      </c>
      <c r="P24" s="46">
        <v>0</v>
      </c>
      <c r="Q24" s="46">
        <v>4956533</v>
      </c>
      <c r="R24" s="49">
        <v>449</v>
      </c>
      <c r="S24" s="49">
        <v>46034</v>
      </c>
      <c r="T24" s="49">
        <v>29739198</v>
      </c>
      <c r="U24" s="49">
        <v>460</v>
      </c>
      <c r="V24" s="49">
        <v>46043</v>
      </c>
      <c r="W24" s="49">
        <v>29739198</v>
      </c>
      <c r="X24" s="46">
        <v>46053</v>
      </c>
      <c r="Y24" s="49">
        <v>9</v>
      </c>
      <c r="Z24" s="46">
        <v>21</v>
      </c>
      <c r="AA24" s="46">
        <v>1486959.9</v>
      </c>
      <c r="AB24" s="46">
        <v>4956533</v>
      </c>
      <c r="AC24" s="46">
        <v>4956533</v>
      </c>
      <c r="AD24" s="46">
        <v>4956533</v>
      </c>
      <c r="AE24" s="46">
        <v>4956533</v>
      </c>
      <c r="AF24" s="46">
        <v>4956533</v>
      </c>
      <c r="AG24" s="46">
        <v>3469573.1</v>
      </c>
      <c r="AH24" s="46">
        <v>3469573.1</v>
      </c>
      <c r="AI24" s="46">
        <v>1486959.9</v>
      </c>
      <c r="AJ24" s="46">
        <f>+AE24</f>
        <v>4956533</v>
      </c>
      <c r="AK24" s="51">
        <f>+AJ24</f>
        <v>4956533</v>
      </c>
      <c r="AL24" s="51">
        <f>+AH24</f>
        <v>3469573.1</v>
      </c>
      <c r="AM24" s="51">
        <v>0</v>
      </c>
      <c r="AN24" s="51">
        <v>0</v>
      </c>
      <c r="AO24" s="51">
        <f t="shared" si="0"/>
        <v>44608797</v>
      </c>
      <c r="AP24" s="46">
        <v>0</v>
      </c>
      <c r="AQ24" s="46" t="s">
        <v>55</v>
      </c>
      <c r="AR24" s="48">
        <v>46316</v>
      </c>
      <c r="AS24" s="48">
        <v>14869599</v>
      </c>
      <c r="AT24" s="48">
        <v>14869599</v>
      </c>
      <c r="AU24" s="49" t="str">
        <f t="shared" si="3"/>
        <v>VERDADERO</v>
      </c>
      <c r="AV24" s="48">
        <v>14869599</v>
      </c>
      <c r="AW24" s="47" t="s">
        <v>120</v>
      </c>
      <c r="AX24" s="45" t="s">
        <v>136</v>
      </c>
      <c r="AY24" s="52" t="s">
        <v>58</v>
      </c>
    </row>
    <row r="25" spans="1:52" s="53" customFormat="1" hidden="1" x14ac:dyDescent="0.2">
      <c r="A25" s="45" t="s">
        <v>50</v>
      </c>
      <c r="B25" s="45"/>
      <c r="C25" s="45" t="s">
        <v>137</v>
      </c>
      <c r="D25" s="47" t="s">
        <v>138</v>
      </c>
      <c r="E25" s="46">
        <v>1024528174</v>
      </c>
      <c r="F25" s="48">
        <v>46044</v>
      </c>
      <c r="G25" s="48">
        <v>46224</v>
      </c>
      <c r="H25" s="49">
        <v>29739198</v>
      </c>
      <c r="I25" s="49" t="s">
        <v>53</v>
      </c>
      <c r="J25" s="49" t="s">
        <v>53</v>
      </c>
      <c r="K25" s="49" t="s">
        <v>53</v>
      </c>
      <c r="L25" s="49" t="s">
        <v>53</v>
      </c>
      <c r="M25" s="49" t="s">
        <v>53</v>
      </c>
      <c r="N25" s="46">
        <f t="shared" si="2"/>
        <v>4956533</v>
      </c>
      <c r="O25" s="49" t="s">
        <v>54</v>
      </c>
      <c r="P25" s="46">
        <v>0</v>
      </c>
      <c r="Q25" s="46">
        <v>4956533</v>
      </c>
      <c r="R25" s="49">
        <v>296</v>
      </c>
      <c r="S25" s="49">
        <v>46033</v>
      </c>
      <c r="T25" s="49">
        <v>29739198</v>
      </c>
      <c r="U25" s="49">
        <v>445</v>
      </c>
      <c r="V25" s="49">
        <v>46043</v>
      </c>
      <c r="W25" s="49">
        <v>29739198</v>
      </c>
      <c r="X25" s="46">
        <v>46053</v>
      </c>
      <c r="Y25" s="49">
        <v>9</v>
      </c>
      <c r="Z25" s="46">
        <v>21</v>
      </c>
      <c r="AA25" s="46">
        <v>1486959.9</v>
      </c>
      <c r="AB25" s="46">
        <v>4956533</v>
      </c>
      <c r="AC25" s="46">
        <v>4956533</v>
      </c>
      <c r="AD25" s="46">
        <v>4956533</v>
      </c>
      <c r="AE25" s="46">
        <v>4956533</v>
      </c>
      <c r="AF25" s="46">
        <v>4956533</v>
      </c>
      <c r="AG25" s="46">
        <v>3469573.1</v>
      </c>
      <c r="AH25" s="46">
        <v>3469573.1</v>
      </c>
      <c r="AI25" s="46">
        <v>1486959.9</v>
      </c>
      <c r="AJ25" s="46">
        <v>4956533</v>
      </c>
      <c r="AK25" s="51">
        <v>4956533</v>
      </c>
      <c r="AL25" s="51">
        <v>3469573.1</v>
      </c>
      <c r="AM25" s="51">
        <v>0</v>
      </c>
      <c r="AN25" s="51">
        <v>0</v>
      </c>
      <c r="AO25" s="51">
        <f t="shared" si="0"/>
        <v>44608797</v>
      </c>
      <c r="AP25" s="46">
        <v>0</v>
      </c>
      <c r="AQ25" s="46" t="s">
        <v>55</v>
      </c>
      <c r="AR25" s="48">
        <v>46316</v>
      </c>
      <c r="AS25" s="48">
        <f>H25*50/100</f>
        <v>14869599</v>
      </c>
      <c r="AT25" s="48">
        <v>14869599</v>
      </c>
      <c r="AU25" s="49" t="str">
        <f t="shared" si="3"/>
        <v>VERDADERO</v>
      </c>
      <c r="AV25" s="48">
        <v>14869599</v>
      </c>
      <c r="AW25" s="47" t="s">
        <v>120</v>
      </c>
      <c r="AX25" s="45" t="s">
        <v>139</v>
      </c>
      <c r="AY25" s="52" t="s">
        <v>58</v>
      </c>
    </row>
    <row r="26" spans="1:52" s="53" customFormat="1" ht="20.100000000000001" hidden="1" customHeight="1" x14ac:dyDescent="0.2">
      <c r="A26" s="45" t="s">
        <v>50</v>
      </c>
      <c r="B26" s="45"/>
      <c r="C26" s="45" t="s">
        <v>140</v>
      </c>
      <c r="D26" s="47" t="s">
        <v>141</v>
      </c>
      <c r="E26" s="46">
        <v>52735715</v>
      </c>
      <c r="F26" s="48">
        <v>46044</v>
      </c>
      <c r="G26" s="48">
        <v>46224</v>
      </c>
      <c r="H26" s="49">
        <v>29739198</v>
      </c>
      <c r="I26" s="49" t="s">
        <v>53</v>
      </c>
      <c r="J26" s="49" t="s">
        <v>53</v>
      </c>
      <c r="K26" s="49" t="s">
        <v>53</v>
      </c>
      <c r="L26" s="49" t="s">
        <v>53</v>
      </c>
      <c r="M26" s="49" t="s">
        <v>53</v>
      </c>
      <c r="N26" s="46">
        <f t="shared" si="2"/>
        <v>4956533</v>
      </c>
      <c r="O26" s="49" t="s">
        <v>54</v>
      </c>
      <c r="P26" s="46">
        <v>0</v>
      </c>
      <c r="Q26" s="46">
        <f>N26+P26</f>
        <v>4956533</v>
      </c>
      <c r="R26" s="49">
        <v>450</v>
      </c>
      <c r="S26" s="50">
        <v>46034</v>
      </c>
      <c r="T26" s="49">
        <v>29739198</v>
      </c>
      <c r="U26" s="49">
        <v>446</v>
      </c>
      <c r="V26" s="49">
        <v>46043</v>
      </c>
      <c r="W26" s="49">
        <v>29739198</v>
      </c>
      <c r="X26" s="46">
        <v>46053</v>
      </c>
      <c r="Y26" s="49">
        <v>9</v>
      </c>
      <c r="Z26" s="46">
        <v>21</v>
      </c>
      <c r="AA26" s="46">
        <v>1486959.9</v>
      </c>
      <c r="AB26" s="46">
        <v>4956533</v>
      </c>
      <c r="AC26" s="46">
        <v>4956533</v>
      </c>
      <c r="AD26" s="46">
        <v>4956533</v>
      </c>
      <c r="AE26" s="46">
        <v>4956533</v>
      </c>
      <c r="AF26" s="46">
        <v>4956533</v>
      </c>
      <c r="AG26" s="46">
        <f>Q26/30*21</f>
        <v>3469573.1</v>
      </c>
      <c r="AH26" s="46">
        <v>3469573.1</v>
      </c>
      <c r="AI26" s="46">
        <f>Q26/30*9</f>
        <v>1486959.9</v>
      </c>
      <c r="AJ26" s="46">
        <f>Q26</f>
        <v>4956533</v>
      </c>
      <c r="AK26" s="51">
        <f>AJ26</f>
        <v>4956533</v>
      </c>
      <c r="AL26" s="51">
        <f>Q26/30*21</f>
        <v>3469573.1</v>
      </c>
      <c r="AM26" s="51">
        <v>0</v>
      </c>
      <c r="AN26" s="51">
        <v>0</v>
      </c>
      <c r="AO26" s="51">
        <f t="shared" si="0"/>
        <v>44608797</v>
      </c>
      <c r="AP26" s="46">
        <v>0</v>
      </c>
      <c r="AQ26" s="46" t="s">
        <v>55</v>
      </c>
      <c r="AR26" s="48">
        <v>46316</v>
      </c>
      <c r="AS26" s="48">
        <f>H26*0.5</f>
        <v>14869599</v>
      </c>
      <c r="AT26" s="48">
        <f>AI26+AJ26+AK26+AL26</f>
        <v>14869599</v>
      </c>
      <c r="AU26" s="49" t="str">
        <f t="shared" si="3"/>
        <v>VERDADERO</v>
      </c>
      <c r="AV26" s="48">
        <v>14869599</v>
      </c>
      <c r="AW26" s="47" t="s">
        <v>120</v>
      </c>
      <c r="AX26" s="45" t="s">
        <v>142</v>
      </c>
      <c r="AY26" s="52" t="s">
        <v>108</v>
      </c>
      <c r="AZ26" s="53" t="s">
        <v>182</v>
      </c>
    </row>
    <row r="27" spans="1:52" s="57" customFormat="1" ht="20.100000000000001" hidden="1" customHeight="1" x14ac:dyDescent="0.2">
      <c r="A27" s="45" t="s">
        <v>50</v>
      </c>
      <c r="B27" s="45"/>
      <c r="C27" s="45" t="s">
        <v>143</v>
      </c>
      <c r="D27" s="47" t="s">
        <v>144</v>
      </c>
      <c r="E27" s="46" t="s">
        <v>145</v>
      </c>
      <c r="F27" s="45">
        <v>46043</v>
      </c>
      <c r="G27" s="48">
        <v>46223</v>
      </c>
      <c r="H27" s="49">
        <f>38071722-3</f>
        <v>38071719</v>
      </c>
      <c r="I27" s="49" t="s">
        <v>53</v>
      </c>
      <c r="J27" s="49" t="s">
        <v>53</v>
      </c>
      <c r="K27" s="49" t="s">
        <v>53</v>
      </c>
      <c r="L27" s="49" t="s">
        <v>53</v>
      </c>
      <c r="M27" s="49" t="s">
        <v>53</v>
      </c>
      <c r="N27" s="46">
        <v>6345287</v>
      </c>
      <c r="O27" s="49" t="s">
        <v>54</v>
      </c>
      <c r="P27" s="46">
        <v>0</v>
      </c>
      <c r="Q27" s="46">
        <v>6345287</v>
      </c>
      <c r="R27" s="49">
        <v>393</v>
      </c>
      <c r="S27" s="50">
        <v>46034</v>
      </c>
      <c r="T27" s="49">
        <v>38071722</v>
      </c>
      <c r="U27" s="49">
        <v>448</v>
      </c>
      <c r="V27" s="49">
        <v>46043</v>
      </c>
      <c r="W27" s="49">
        <v>38071719</v>
      </c>
      <c r="X27" s="46">
        <v>46053</v>
      </c>
      <c r="Y27" s="49">
        <v>10</v>
      </c>
      <c r="Z27" s="46">
        <v>20</v>
      </c>
      <c r="AA27" s="46">
        <v>2115095.67</v>
      </c>
      <c r="AB27" s="46">
        <v>6345287</v>
      </c>
      <c r="AC27" s="46">
        <v>6345287</v>
      </c>
      <c r="AD27" s="46">
        <v>6345287</v>
      </c>
      <c r="AE27" s="46">
        <v>6345287</v>
      </c>
      <c r="AF27" s="46">
        <v>6345287</v>
      </c>
      <c r="AG27" s="46">
        <v>4230188.33</v>
      </c>
      <c r="AH27" s="46">
        <v>4230188.33</v>
      </c>
      <c r="AI27" s="55">
        <f>Q27/30*10</f>
        <v>2115095.666666667</v>
      </c>
      <c r="AJ27" s="55">
        <v>6345287</v>
      </c>
      <c r="AK27" s="51">
        <v>6345287</v>
      </c>
      <c r="AL27" s="51">
        <f>Q27/30*20-1.5</f>
        <v>4230189.833333334</v>
      </c>
      <c r="AM27" s="51">
        <v>0</v>
      </c>
      <c r="AN27" s="51">
        <v>0</v>
      </c>
      <c r="AO27" s="51">
        <f t="shared" si="0"/>
        <v>57107578.5</v>
      </c>
      <c r="AP27" s="46">
        <v>0</v>
      </c>
      <c r="AQ27" s="46" t="s">
        <v>55</v>
      </c>
      <c r="AR27" s="48">
        <v>46315</v>
      </c>
      <c r="AS27" s="48">
        <f>H27*0.5</f>
        <v>19035859.5</v>
      </c>
      <c r="AT27" s="48">
        <f>AI27+AJ27+AK27+AL27</f>
        <v>19035859.5</v>
      </c>
      <c r="AU27" s="49" t="str">
        <f t="shared" si="3"/>
        <v>VERDADERO</v>
      </c>
      <c r="AV27" s="48">
        <f>AT27</f>
        <v>19035859.5</v>
      </c>
      <c r="AW27" s="47" t="s">
        <v>86</v>
      </c>
      <c r="AX27" s="45" t="s">
        <v>146</v>
      </c>
      <c r="AY27" s="56" t="s">
        <v>178</v>
      </c>
      <c r="AZ27" s="53" t="s">
        <v>182</v>
      </c>
    </row>
    <row r="28" spans="1:52" s="57" customFormat="1" hidden="1" x14ac:dyDescent="0.2">
      <c r="A28" s="45" t="s">
        <v>50</v>
      </c>
      <c r="B28" s="45"/>
      <c r="C28" s="45" t="s">
        <v>147</v>
      </c>
      <c r="D28" s="47" t="s">
        <v>148</v>
      </c>
      <c r="E28" s="46">
        <v>1014257771</v>
      </c>
      <c r="F28" s="48">
        <v>46052</v>
      </c>
      <c r="G28" s="48">
        <v>46232</v>
      </c>
      <c r="H28" s="49">
        <v>48000000</v>
      </c>
      <c r="I28" s="49" t="s">
        <v>53</v>
      </c>
      <c r="J28" s="49" t="s">
        <v>53</v>
      </c>
      <c r="K28" s="49" t="s">
        <v>53</v>
      </c>
      <c r="L28" s="49" t="s">
        <v>53</v>
      </c>
      <c r="M28" s="49" t="s">
        <v>53</v>
      </c>
      <c r="N28" s="46">
        <f t="shared" si="2"/>
        <v>8000000</v>
      </c>
      <c r="O28" s="49" t="s">
        <v>54</v>
      </c>
      <c r="P28" s="46">
        <v>0</v>
      </c>
      <c r="Q28" s="46">
        <f>N28+P28</f>
        <v>8000000</v>
      </c>
      <c r="R28" s="49">
        <v>394</v>
      </c>
      <c r="S28" s="50">
        <v>46034</v>
      </c>
      <c r="T28" s="49">
        <v>48000000</v>
      </c>
      <c r="U28" s="49">
        <v>1205</v>
      </c>
      <c r="V28" s="49">
        <v>46052</v>
      </c>
      <c r="W28" s="49">
        <v>48000000</v>
      </c>
      <c r="X28" s="46">
        <v>46053</v>
      </c>
      <c r="Y28" s="49">
        <v>1</v>
      </c>
      <c r="Z28" s="46">
        <v>29</v>
      </c>
      <c r="AA28" s="46">
        <f>Q28/30*1</f>
        <v>266666.66666666669</v>
      </c>
      <c r="AB28" s="46">
        <f>Q28</f>
        <v>8000000</v>
      </c>
      <c r="AC28" s="46">
        <v>8000000</v>
      </c>
      <c r="AD28" s="46">
        <v>8000000</v>
      </c>
      <c r="AE28" s="46">
        <v>8000000</v>
      </c>
      <c r="AF28" s="46">
        <v>8000000</v>
      </c>
      <c r="AG28" s="46">
        <f>Q28/30*29</f>
        <v>7733333.333333334</v>
      </c>
      <c r="AH28" s="46">
        <f>AG28</f>
        <v>7733333.333333334</v>
      </c>
      <c r="AI28" s="46">
        <f>Q28/30*1</f>
        <v>266666.66666666669</v>
      </c>
      <c r="AJ28" s="55">
        <f>Q28</f>
        <v>8000000</v>
      </c>
      <c r="AK28" s="51">
        <f>AJ28</f>
        <v>8000000</v>
      </c>
      <c r="AL28" s="51">
        <f>Q28/30*29</f>
        <v>7733333.333333334</v>
      </c>
      <c r="AM28" s="51">
        <v>0</v>
      </c>
      <c r="AN28" s="51">
        <v>0</v>
      </c>
      <c r="AO28" s="51">
        <f t="shared" si="0"/>
        <v>72000000</v>
      </c>
      <c r="AP28" s="46">
        <v>0</v>
      </c>
      <c r="AQ28" s="46" t="s">
        <v>55</v>
      </c>
      <c r="AR28" s="48">
        <v>46324</v>
      </c>
      <c r="AS28" s="48">
        <f>H28*0.5</f>
        <v>24000000</v>
      </c>
      <c r="AT28" s="48">
        <f>AI28+AJ28+AK28+AL28</f>
        <v>24000000</v>
      </c>
      <c r="AU28" s="49" t="str">
        <f t="shared" si="3"/>
        <v>VERDADERO</v>
      </c>
      <c r="AV28" s="48">
        <v>24000000</v>
      </c>
      <c r="AW28" s="47" t="s">
        <v>86</v>
      </c>
      <c r="AX28" s="45" t="s">
        <v>149</v>
      </c>
      <c r="AY28" s="52" t="s">
        <v>67</v>
      </c>
      <c r="AZ28" s="53"/>
    </row>
    <row r="29" spans="1:52" s="57" customFormat="1" hidden="1" x14ac:dyDescent="0.2">
      <c r="A29" s="45" t="s">
        <v>50</v>
      </c>
      <c r="B29" s="45"/>
      <c r="C29" s="45" t="s">
        <v>150</v>
      </c>
      <c r="D29" s="47" t="s">
        <v>151</v>
      </c>
      <c r="E29" s="46">
        <v>1075208563</v>
      </c>
      <c r="F29" s="48">
        <v>46052</v>
      </c>
      <c r="G29" s="48">
        <v>46232</v>
      </c>
      <c r="H29" s="49">
        <v>48000000</v>
      </c>
      <c r="I29" s="49" t="s">
        <v>53</v>
      </c>
      <c r="J29" s="49" t="s">
        <v>53</v>
      </c>
      <c r="K29" s="49" t="s">
        <v>53</v>
      </c>
      <c r="L29" s="49" t="s">
        <v>53</v>
      </c>
      <c r="M29" s="49" t="s">
        <v>53</v>
      </c>
      <c r="N29" s="46">
        <f t="shared" si="2"/>
        <v>8000000</v>
      </c>
      <c r="O29" s="49" t="s">
        <v>54</v>
      </c>
      <c r="P29" s="46">
        <v>0</v>
      </c>
      <c r="Q29" s="46">
        <v>8000000</v>
      </c>
      <c r="R29" s="49">
        <v>245</v>
      </c>
      <c r="S29" s="50">
        <v>46033</v>
      </c>
      <c r="T29" s="49">
        <v>48000000</v>
      </c>
      <c r="U29" s="49">
        <v>1168</v>
      </c>
      <c r="V29" s="49">
        <v>46052</v>
      </c>
      <c r="W29" s="49">
        <v>48000000</v>
      </c>
      <c r="X29" s="46">
        <v>46053</v>
      </c>
      <c r="Y29" s="49">
        <v>1</v>
      </c>
      <c r="Z29" s="46">
        <v>29</v>
      </c>
      <c r="AA29" s="46">
        <v>266666.67</v>
      </c>
      <c r="AB29" s="46">
        <v>8000000</v>
      </c>
      <c r="AC29" s="46">
        <v>8000000</v>
      </c>
      <c r="AD29" s="46">
        <v>8000000</v>
      </c>
      <c r="AE29" s="46">
        <v>8000000</v>
      </c>
      <c r="AF29" s="46">
        <v>8000000</v>
      </c>
      <c r="AG29" s="46">
        <v>7733333.3300000001</v>
      </c>
      <c r="AH29" s="46">
        <v>7733333.3300000001</v>
      </c>
      <c r="AI29" s="46">
        <v>266666.67</v>
      </c>
      <c r="AJ29" s="55">
        <v>8000000</v>
      </c>
      <c r="AK29" s="51">
        <v>8000000</v>
      </c>
      <c r="AL29" s="51">
        <v>7733333.3300000001</v>
      </c>
      <c r="AM29" s="51">
        <v>0</v>
      </c>
      <c r="AN29" s="51">
        <v>0</v>
      </c>
      <c r="AO29" s="51">
        <f t="shared" si="0"/>
        <v>72000000</v>
      </c>
      <c r="AP29" s="46">
        <v>0</v>
      </c>
      <c r="AQ29" s="46" t="s">
        <v>55</v>
      </c>
      <c r="AR29" s="48">
        <v>46324</v>
      </c>
      <c r="AS29" s="48">
        <f>H29*50/100</f>
        <v>24000000</v>
      </c>
      <c r="AT29" s="48">
        <f>+AI29+AJ29+AK29+AL29</f>
        <v>24000000</v>
      </c>
      <c r="AU29" s="49" t="str">
        <f t="shared" si="3"/>
        <v>VERDADERO</v>
      </c>
      <c r="AV29" s="48">
        <v>24000000</v>
      </c>
      <c r="AW29" s="47" t="s">
        <v>86</v>
      </c>
      <c r="AX29" s="45" t="s">
        <v>152</v>
      </c>
      <c r="AY29" s="52" t="s">
        <v>153</v>
      </c>
      <c r="AZ29" s="53"/>
    </row>
    <row r="30" spans="1:52" s="57" customFormat="1" ht="20.100000000000001" hidden="1" customHeight="1" x14ac:dyDescent="0.2">
      <c r="A30" s="45" t="s">
        <v>50</v>
      </c>
      <c r="B30" s="45"/>
      <c r="C30" s="45" t="s">
        <v>154</v>
      </c>
      <c r="D30" s="47" t="s">
        <v>155</v>
      </c>
      <c r="E30" s="46">
        <v>1000588765</v>
      </c>
      <c r="F30" s="48">
        <v>46048</v>
      </c>
      <c r="G30" s="48">
        <v>46228</v>
      </c>
      <c r="H30" s="49">
        <v>30049932</v>
      </c>
      <c r="I30" s="49" t="s">
        <v>53</v>
      </c>
      <c r="J30" s="49" t="s">
        <v>53</v>
      </c>
      <c r="K30" s="49" t="s">
        <v>53</v>
      </c>
      <c r="L30" s="49" t="s">
        <v>53</v>
      </c>
      <c r="M30" s="49" t="s">
        <v>53</v>
      </c>
      <c r="N30" s="46">
        <f t="shared" si="2"/>
        <v>5008322</v>
      </c>
      <c r="O30" s="49" t="s">
        <v>54</v>
      </c>
      <c r="P30" s="46">
        <v>0</v>
      </c>
      <c r="Q30" s="46">
        <v>5008322</v>
      </c>
      <c r="R30" s="49">
        <v>259</v>
      </c>
      <c r="S30" s="50">
        <v>46033</v>
      </c>
      <c r="T30" s="49">
        <v>60099864</v>
      </c>
      <c r="U30" s="49">
        <v>636</v>
      </c>
      <c r="V30" s="49">
        <v>46048</v>
      </c>
      <c r="W30" s="49">
        <v>30049932</v>
      </c>
      <c r="X30" s="46">
        <v>46053</v>
      </c>
      <c r="Y30" s="49">
        <v>5</v>
      </c>
      <c r="Z30" s="46">
        <v>25</v>
      </c>
      <c r="AA30" s="46">
        <v>834720.33</v>
      </c>
      <c r="AB30" s="46">
        <v>5008322</v>
      </c>
      <c r="AC30" s="46">
        <v>5008322</v>
      </c>
      <c r="AD30" s="46">
        <v>5008322</v>
      </c>
      <c r="AE30" s="46">
        <v>5008322</v>
      </c>
      <c r="AF30" s="46">
        <v>5008322</v>
      </c>
      <c r="AG30" s="46">
        <v>4173601.67</v>
      </c>
      <c r="AH30" s="46">
        <v>4173601.67</v>
      </c>
      <c r="AI30" s="46">
        <v>834720.33</v>
      </c>
      <c r="AJ30" s="55">
        <v>5008322</v>
      </c>
      <c r="AK30" s="51">
        <f>+AF30</f>
        <v>5008322</v>
      </c>
      <c r="AL30" s="51">
        <v>4173601.67</v>
      </c>
      <c r="AM30" s="51">
        <v>0</v>
      </c>
      <c r="AN30" s="51">
        <v>0</v>
      </c>
      <c r="AO30" s="51">
        <f t="shared" si="0"/>
        <v>45074898</v>
      </c>
      <c r="AP30" s="46">
        <v>0</v>
      </c>
      <c r="AQ30" s="46" t="s">
        <v>55</v>
      </c>
      <c r="AR30" s="48">
        <v>46320</v>
      </c>
      <c r="AS30" s="48">
        <f>H30*50/100</f>
        <v>15024966</v>
      </c>
      <c r="AT30" s="48">
        <f>+AI30+AJ30+AK30+AL30</f>
        <v>15024966</v>
      </c>
      <c r="AU30" s="49" t="str">
        <f t="shared" si="3"/>
        <v>VERDADERO</v>
      </c>
      <c r="AV30" s="48">
        <v>15024966</v>
      </c>
      <c r="AW30" s="47" t="s">
        <v>156</v>
      </c>
      <c r="AX30" s="45" t="s">
        <v>157</v>
      </c>
      <c r="AY30" s="52" t="s">
        <v>158</v>
      </c>
      <c r="AZ30" s="53"/>
    </row>
    <row r="31" spans="1:52" s="63" customFormat="1" ht="20.100000000000001" hidden="1" customHeight="1" x14ac:dyDescent="0.2">
      <c r="A31" s="58" t="s">
        <v>50</v>
      </c>
      <c r="B31" s="58"/>
      <c r="C31" s="58" t="s">
        <v>159</v>
      </c>
      <c r="D31" s="59" t="s">
        <v>160</v>
      </c>
      <c r="E31" s="55">
        <v>1018513487</v>
      </c>
      <c r="F31" s="60">
        <v>46045</v>
      </c>
      <c r="G31" s="60">
        <v>46225</v>
      </c>
      <c r="H31" s="55">
        <f>34888770-8000</f>
        <v>34880770</v>
      </c>
      <c r="I31" s="55" t="s">
        <v>53</v>
      </c>
      <c r="J31" s="55" t="s">
        <v>53</v>
      </c>
      <c r="K31" s="55" t="s">
        <v>53</v>
      </c>
      <c r="L31" s="55" t="s">
        <v>53</v>
      </c>
      <c r="M31" s="55" t="s">
        <v>53</v>
      </c>
      <c r="N31" s="46">
        <v>5814795</v>
      </c>
      <c r="O31" s="55" t="s">
        <v>54</v>
      </c>
      <c r="P31" s="55">
        <v>0</v>
      </c>
      <c r="Q31" s="55">
        <v>5814795</v>
      </c>
      <c r="R31" s="55">
        <v>306</v>
      </c>
      <c r="S31" s="61">
        <v>46033</v>
      </c>
      <c r="T31" s="55">
        <v>34888770</v>
      </c>
      <c r="U31" s="55">
        <v>552</v>
      </c>
      <c r="V31" s="55">
        <v>46045</v>
      </c>
      <c r="W31" s="46">
        <f>34888770-8000</f>
        <v>34880770</v>
      </c>
      <c r="X31" s="55">
        <v>46053</v>
      </c>
      <c r="Y31" s="55">
        <v>8</v>
      </c>
      <c r="Z31" s="55">
        <v>22</v>
      </c>
      <c r="AA31" s="55">
        <v>1550612</v>
      </c>
      <c r="AB31" s="55">
        <v>5814795</v>
      </c>
      <c r="AC31" s="55">
        <v>5814795</v>
      </c>
      <c r="AD31" s="55">
        <v>5814795</v>
      </c>
      <c r="AE31" s="55">
        <v>5814795</v>
      </c>
      <c r="AF31" s="55">
        <v>5814795</v>
      </c>
      <c r="AG31" s="55">
        <f>4264183-8000</f>
        <v>4256183</v>
      </c>
      <c r="AH31" s="55">
        <f>4264183-8000</f>
        <v>4256183</v>
      </c>
      <c r="AI31" s="55">
        <f>+AC39</f>
        <v>1550612</v>
      </c>
      <c r="AJ31" s="55">
        <v>5814795</v>
      </c>
      <c r="AK31" s="51">
        <v>5814795</v>
      </c>
      <c r="AL31" s="55">
        <f>4264183-4000</f>
        <v>4260183</v>
      </c>
      <c r="AM31" s="58">
        <v>0</v>
      </c>
      <c r="AN31" s="58">
        <v>0</v>
      </c>
      <c r="AO31" s="51">
        <f t="shared" si="0"/>
        <v>52321155</v>
      </c>
      <c r="AP31" s="46">
        <f>+AO31-H31-AT31</f>
        <v>0</v>
      </c>
      <c r="AQ31" s="46" t="s">
        <v>55</v>
      </c>
      <c r="AR31" s="48">
        <v>46317</v>
      </c>
      <c r="AS31" s="48">
        <f>H31*50/100</f>
        <v>17440385</v>
      </c>
      <c r="AT31" s="48">
        <f>W31/2</f>
        <v>17440385</v>
      </c>
      <c r="AU31" s="49" t="str">
        <f t="shared" si="3"/>
        <v>VERDADERO</v>
      </c>
      <c r="AV31" s="48">
        <v>17444385</v>
      </c>
      <c r="AW31" s="59" t="s">
        <v>161</v>
      </c>
      <c r="AX31" s="45" t="s">
        <v>162</v>
      </c>
      <c r="AY31" s="62" t="s">
        <v>163</v>
      </c>
      <c r="AZ31" s="53" t="s">
        <v>182</v>
      </c>
    </row>
    <row r="32" spans="1:52" s="68" customFormat="1" ht="20.100000000000001" hidden="1" customHeight="1" x14ac:dyDescent="0.2">
      <c r="A32" s="51" t="s">
        <v>50</v>
      </c>
      <c r="B32" s="51"/>
      <c r="C32" s="51" t="s">
        <v>164</v>
      </c>
      <c r="D32" s="64" t="s">
        <v>165</v>
      </c>
      <c r="E32" s="46">
        <v>87215913</v>
      </c>
      <c r="F32" s="65">
        <v>46044</v>
      </c>
      <c r="G32" s="65">
        <v>46224</v>
      </c>
      <c r="H32" s="46">
        <f>34888770-8000</f>
        <v>34880770</v>
      </c>
      <c r="I32" s="46" t="s">
        <v>53</v>
      </c>
      <c r="J32" s="46" t="s">
        <v>53</v>
      </c>
      <c r="K32" s="46" t="s">
        <v>53</v>
      </c>
      <c r="L32" s="46" t="s">
        <v>53</v>
      </c>
      <c r="M32" s="46" t="s">
        <v>53</v>
      </c>
      <c r="N32" s="46">
        <v>5814795</v>
      </c>
      <c r="O32" s="46" t="s">
        <v>54</v>
      </c>
      <c r="P32" s="46">
        <v>0</v>
      </c>
      <c r="Q32" s="46">
        <v>5814795</v>
      </c>
      <c r="R32" s="46">
        <v>453</v>
      </c>
      <c r="S32" s="66">
        <v>46034</v>
      </c>
      <c r="T32" s="46">
        <v>34888770</v>
      </c>
      <c r="U32" s="46">
        <v>522</v>
      </c>
      <c r="V32" s="46">
        <v>46044</v>
      </c>
      <c r="W32" s="46">
        <f>34888770-8000</f>
        <v>34880770</v>
      </c>
      <c r="X32" s="46">
        <v>46053</v>
      </c>
      <c r="Y32" s="46">
        <v>9</v>
      </c>
      <c r="Z32" s="46">
        <v>21</v>
      </c>
      <c r="AA32" s="46">
        <v>1744438.5</v>
      </c>
      <c r="AB32" s="46">
        <v>5814795</v>
      </c>
      <c r="AC32" s="46">
        <v>5814795</v>
      </c>
      <c r="AD32" s="46">
        <v>5814795</v>
      </c>
      <c r="AE32" s="46">
        <v>5814795</v>
      </c>
      <c r="AF32" s="46">
        <v>5814795</v>
      </c>
      <c r="AG32" s="46">
        <f>5814795/30*21-8000</f>
        <v>4062356.5</v>
      </c>
      <c r="AH32" s="46">
        <f>5814795/30*21-8000</f>
        <v>4062356.5</v>
      </c>
      <c r="AI32" s="46">
        <f>5814795/30*9</f>
        <v>1744438.5</v>
      </c>
      <c r="AJ32" s="55">
        <f>AF32</f>
        <v>5814795</v>
      </c>
      <c r="AK32" s="51">
        <f>AF32</f>
        <v>5814795</v>
      </c>
      <c r="AL32" s="46">
        <f>5814795/30*21-4000</f>
        <v>4066356.5</v>
      </c>
      <c r="AM32" s="51">
        <v>0</v>
      </c>
      <c r="AN32" s="51"/>
      <c r="AO32" s="51">
        <f t="shared" si="0"/>
        <v>52321155</v>
      </c>
      <c r="AP32" s="46">
        <f>+AO32-H32-AT32</f>
        <v>0</v>
      </c>
      <c r="AQ32" s="46" t="s">
        <v>55</v>
      </c>
      <c r="AR32" s="48">
        <v>46316</v>
      </c>
      <c r="AS32" s="48">
        <f>H32*50/100</f>
        <v>17440385</v>
      </c>
      <c r="AT32" s="48">
        <f>W32/2</f>
        <v>17440385</v>
      </c>
      <c r="AU32" s="49" t="str">
        <f t="shared" si="3"/>
        <v>VERDADERO</v>
      </c>
      <c r="AV32" s="48">
        <v>17444385</v>
      </c>
      <c r="AW32" s="64" t="s">
        <v>166</v>
      </c>
      <c r="AX32" s="45" t="s">
        <v>167</v>
      </c>
      <c r="AY32" s="67" t="s">
        <v>168</v>
      </c>
      <c r="AZ32" s="53" t="s">
        <v>182</v>
      </c>
    </row>
    <row r="33" spans="1:52" s="57" customFormat="1" ht="17.25" hidden="1" customHeight="1" x14ac:dyDescent="0.2">
      <c r="A33" s="45" t="s">
        <v>50</v>
      </c>
      <c r="B33" s="45"/>
      <c r="C33" s="45" t="s">
        <v>169</v>
      </c>
      <c r="D33" s="47" t="s">
        <v>170</v>
      </c>
      <c r="E33" s="49">
        <v>11350154</v>
      </c>
      <c r="F33" s="48">
        <v>46045</v>
      </c>
      <c r="G33" s="48">
        <v>46225</v>
      </c>
      <c r="H33" s="49">
        <v>58283796</v>
      </c>
      <c r="I33" s="49" t="s">
        <v>53</v>
      </c>
      <c r="J33" s="49" t="s">
        <v>53</v>
      </c>
      <c r="K33" s="49" t="s">
        <v>53</v>
      </c>
      <c r="L33" s="49" t="s">
        <v>53</v>
      </c>
      <c r="M33" s="49" t="s">
        <v>53</v>
      </c>
      <c r="N33" s="49">
        <f t="shared" si="2"/>
        <v>9713966</v>
      </c>
      <c r="O33" s="49" t="s">
        <v>54</v>
      </c>
      <c r="P33" s="49">
        <v>0</v>
      </c>
      <c r="Q33" s="69">
        <f>N33+P33</f>
        <v>9713966</v>
      </c>
      <c r="R33" s="49">
        <v>232</v>
      </c>
      <c r="S33" s="50" t="s">
        <v>171</v>
      </c>
      <c r="T33" s="49">
        <v>78750000</v>
      </c>
      <c r="U33" s="49">
        <v>500</v>
      </c>
      <c r="V33" s="49">
        <v>46044</v>
      </c>
      <c r="W33" s="49">
        <v>58283796</v>
      </c>
      <c r="X33" s="49">
        <v>46053</v>
      </c>
      <c r="Y33" s="49">
        <v>8</v>
      </c>
      <c r="Z33" s="49">
        <v>22</v>
      </c>
      <c r="AA33" s="49">
        <f>Q33/30*8</f>
        <v>2590390.9333333331</v>
      </c>
      <c r="AB33" s="49">
        <v>9713966</v>
      </c>
      <c r="AC33" s="49">
        <v>9713966</v>
      </c>
      <c r="AD33" s="49">
        <v>9713966</v>
      </c>
      <c r="AE33" s="49">
        <v>9713966</v>
      </c>
      <c r="AF33" s="49">
        <v>9713966</v>
      </c>
      <c r="AG33" s="49">
        <f>Q33/30*22</f>
        <v>7123575.0666666664</v>
      </c>
      <c r="AH33" s="49">
        <f>AG33</f>
        <v>7123575.0666666664</v>
      </c>
      <c r="AI33" s="49">
        <f>Q33/30*8</f>
        <v>2590390.9333333331</v>
      </c>
      <c r="AJ33" s="49">
        <f>Q33</f>
        <v>9713966</v>
      </c>
      <c r="AK33" s="70">
        <f>+AJ33</f>
        <v>9713966</v>
      </c>
      <c r="AL33" s="70">
        <f>Q33/30*22</f>
        <v>7123575.0666666664</v>
      </c>
      <c r="AM33" s="70">
        <v>0</v>
      </c>
      <c r="AN33" s="70">
        <v>0</v>
      </c>
      <c r="AO33" s="51">
        <f t="shared" si="0"/>
        <v>87425694</v>
      </c>
      <c r="AP33" s="46">
        <v>0</v>
      </c>
      <c r="AQ33" s="46" t="s">
        <v>55</v>
      </c>
      <c r="AR33" s="48">
        <v>46317</v>
      </c>
      <c r="AS33" s="48">
        <f>H33*0.5</f>
        <v>29141898</v>
      </c>
      <c r="AT33" s="48">
        <f>AI33+AJ33+AK33+AL33</f>
        <v>29141898</v>
      </c>
      <c r="AU33" s="49" t="str">
        <f t="shared" si="3"/>
        <v>VERDADERO</v>
      </c>
      <c r="AV33" s="48">
        <v>29141898</v>
      </c>
      <c r="AW33" s="47" t="s">
        <v>172</v>
      </c>
      <c r="AX33" s="45" t="s">
        <v>173</v>
      </c>
      <c r="AY33" s="52" t="s">
        <v>58</v>
      </c>
      <c r="AZ33" s="53"/>
    </row>
    <row r="34" spans="1:52" hidden="1" x14ac:dyDescent="0.2">
      <c r="A34" s="25"/>
      <c r="B34" s="25"/>
      <c r="C34" s="25"/>
      <c r="D34" s="25"/>
      <c r="E34" s="25"/>
      <c r="F34" s="25"/>
      <c r="G34" s="27"/>
      <c r="H34" s="27"/>
      <c r="I34" s="27"/>
      <c r="J34" s="25"/>
      <c r="K34" s="25"/>
      <c r="L34" s="25"/>
      <c r="M34" s="25"/>
      <c r="N34" s="23">
        <f>34888770/6</f>
        <v>5814795</v>
      </c>
      <c r="O34" s="25"/>
      <c r="P34" s="25"/>
      <c r="Q34" s="25"/>
      <c r="R34" s="25"/>
      <c r="S34" s="25"/>
      <c r="T34" s="28"/>
      <c r="U34" s="25"/>
      <c r="V34" s="25"/>
      <c r="W34" s="25"/>
      <c r="X34" s="25"/>
      <c r="Y34" s="25"/>
      <c r="Z34" s="25"/>
      <c r="AA34" s="27">
        <f>+AG32/30*9</f>
        <v>1218706.95</v>
      </c>
      <c r="AB34" s="29">
        <f>+AA32-AA34</f>
        <v>525731.55000000005</v>
      </c>
      <c r="AC34" s="25">
        <f>5813461.67*5</f>
        <v>29067308.350000001</v>
      </c>
      <c r="AD34" s="25"/>
      <c r="AE34" s="25">
        <f>+AG32/30*21</f>
        <v>2843649.55</v>
      </c>
      <c r="AF34" s="25"/>
      <c r="AG34" s="30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31"/>
      <c r="AT34" s="31">
        <f>+AT32*2</f>
        <v>34880770</v>
      </c>
      <c r="AU34" s="25"/>
      <c r="AV34" s="27"/>
      <c r="AW34" s="25"/>
      <c r="AX34" s="25"/>
      <c r="AY34" s="22"/>
      <c r="AZ34" s="25"/>
    </row>
    <row r="35" spans="1:52" hidden="1" x14ac:dyDescent="0.2">
      <c r="A35" s="25"/>
      <c r="B35" s="25"/>
      <c r="C35" s="25"/>
      <c r="D35" s="25"/>
      <c r="E35" s="25"/>
      <c r="F35" s="25"/>
      <c r="G35" s="27"/>
      <c r="H35" s="32">
        <f>+H27/2</f>
        <v>19035859.5</v>
      </c>
      <c r="I35" s="27"/>
      <c r="J35" s="25"/>
      <c r="K35" s="25"/>
      <c r="L35" s="25"/>
      <c r="M35" s="25"/>
      <c r="N35" s="23"/>
      <c r="O35" s="25"/>
      <c r="P35" s="25"/>
      <c r="Q35" s="25"/>
      <c r="R35" s="25"/>
      <c r="S35" s="25"/>
      <c r="T35" s="28"/>
      <c r="U35" s="25"/>
      <c r="V35" s="25"/>
      <c r="W35" s="33"/>
      <c r="X35" s="25"/>
      <c r="Y35" s="25"/>
      <c r="Z35" s="25"/>
      <c r="AA35" s="25">
        <f>+AA34+AC34+AD34+AE34</f>
        <v>33129664.850000001</v>
      </c>
      <c r="AB35" s="29">
        <f>+AC32-AG32</f>
        <v>1752438.5</v>
      </c>
      <c r="AC35" s="25">
        <f>+AB35*5</f>
        <v>8762192.5</v>
      </c>
      <c r="AD35" s="29">
        <f>+AC35+AB35</f>
        <v>10514631</v>
      </c>
      <c r="AE35" s="25"/>
      <c r="AF35" s="33"/>
      <c r="AG35" s="33"/>
      <c r="AH35" s="25" t="s">
        <v>174</v>
      </c>
      <c r="AI35" s="33" t="s">
        <v>175</v>
      </c>
      <c r="AJ35" s="33" t="s">
        <v>176</v>
      </c>
      <c r="AK35" s="33" t="s">
        <v>177</v>
      </c>
      <c r="AL35" s="33"/>
      <c r="AM35" s="25"/>
      <c r="AN35" s="25"/>
      <c r="AO35" s="28"/>
      <c r="AP35" s="25"/>
      <c r="AQ35" s="25"/>
      <c r="AR35" s="25"/>
      <c r="AS35" s="31"/>
      <c r="AT35" s="33">
        <f>+AT20+H20</f>
        <v>44608797</v>
      </c>
      <c r="AU35" s="25"/>
      <c r="AV35" s="27"/>
      <c r="AW35" s="25"/>
      <c r="AX35" s="25"/>
      <c r="AY35" s="22"/>
      <c r="AZ35" s="25"/>
    </row>
    <row r="36" spans="1:52" hidden="1" x14ac:dyDescent="0.2">
      <c r="A36" s="25"/>
      <c r="B36" s="25"/>
      <c r="C36" s="25"/>
      <c r="D36" s="25"/>
      <c r="E36" s="25"/>
      <c r="F36" s="25"/>
      <c r="G36" s="27"/>
      <c r="H36" s="27"/>
      <c r="I36" s="27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33"/>
      <c r="AG36" s="29">
        <f>+AD32</f>
        <v>5814795</v>
      </c>
      <c r="AH36" s="25">
        <f>+AG36/30*9</f>
        <v>1744438.5</v>
      </c>
      <c r="AI36" s="29">
        <f>+AG36</f>
        <v>5814795</v>
      </c>
      <c r="AJ36" s="29">
        <f>+AI36</f>
        <v>5814795</v>
      </c>
      <c r="AK36" s="33">
        <v>4070356.5</v>
      </c>
      <c r="AL36" s="29">
        <f>+AL27+AI27</f>
        <v>6345285.5000000009</v>
      </c>
      <c r="AM36" s="25"/>
      <c r="AN36" s="25"/>
      <c r="AO36" s="25"/>
      <c r="AP36" s="25"/>
      <c r="AQ36" s="25"/>
      <c r="AR36" s="25"/>
      <c r="AS36" s="31"/>
      <c r="AT36" s="31"/>
      <c r="AU36" s="25"/>
      <c r="AV36" s="27"/>
      <c r="AW36" s="25"/>
      <c r="AX36" s="25"/>
      <c r="AY36" s="22"/>
      <c r="AZ36" s="25"/>
    </row>
    <row r="37" spans="1:52" hidden="1" x14ac:dyDescent="0.2">
      <c r="A37" s="25"/>
      <c r="B37" s="25"/>
      <c r="C37" s="25"/>
      <c r="D37" s="25"/>
      <c r="E37" s="25"/>
      <c r="F37" s="25"/>
      <c r="G37" s="27"/>
      <c r="H37" s="27">
        <f>+H31/2</f>
        <v>17440385</v>
      </c>
      <c r="I37" s="27"/>
      <c r="J37" s="25"/>
      <c r="K37" s="25"/>
      <c r="L37" s="25"/>
      <c r="M37" s="25"/>
      <c r="N37" s="29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33"/>
      <c r="AG37" s="29">
        <f>+W32/2</f>
        <v>17440385</v>
      </c>
      <c r="AH37" s="33">
        <v>17444385</v>
      </c>
      <c r="AI37" s="28">
        <f>+W32</f>
        <v>34880770</v>
      </c>
      <c r="AJ37" s="29">
        <f>+AI27+AG27</f>
        <v>6345283.9966666671</v>
      </c>
      <c r="AK37" s="33"/>
      <c r="AL37" s="33"/>
      <c r="AM37" s="25"/>
      <c r="AN37" s="25"/>
      <c r="AO37" s="25"/>
      <c r="AP37" s="25"/>
      <c r="AQ37" s="25"/>
      <c r="AR37" s="25"/>
      <c r="AS37" s="31">
        <f>+AJ31/30</f>
        <v>193826.5</v>
      </c>
      <c r="AT37" s="31">
        <f>+H31</f>
        <v>34880770</v>
      </c>
      <c r="AU37" s="25"/>
      <c r="AV37" s="27"/>
      <c r="AW37" s="25"/>
      <c r="AX37" s="25"/>
      <c r="AY37" s="22"/>
      <c r="AZ37" s="25"/>
    </row>
    <row r="38" spans="1:52" hidden="1" x14ac:dyDescent="0.2">
      <c r="A38" s="25"/>
      <c r="B38" s="25"/>
      <c r="C38" s="25"/>
      <c r="D38" s="25"/>
      <c r="E38" s="25"/>
      <c r="F38" s="25"/>
      <c r="G38" s="34"/>
      <c r="H38" s="34"/>
      <c r="I38" s="34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>
        <f>W31/2</f>
        <v>17440385</v>
      </c>
      <c r="X38" s="25"/>
      <c r="Y38" s="25"/>
      <c r="Z38" s="25"/>
      <c r="AA38" s="25"/>
      <c r="AB38" s="25"/>
      <c r="AC38" s="25">
        <f>5814795/30</f>
        <v>193826.5</v>
      </c>
      <c r="AD38" s="25">
        <f>AC38*22</f>
        <v>4264183</v>
      </c>
      <c r="AE38" s="25"/>
      <c r="AF38" s="33"/>
      <c r="AG38" s="33"/>
      <c r="AH38" s="29">
        <f>AE31/30</f>
        <v>193826.5</v>
      </c>
      <c r="AI38" s="33">
        <f>+AI37+AH37</f>
        <v>52325155</v>
      </c>
      <c r="AJ38" s="33"/>
      <c r="AK38" s="33"/>
      <c r="AL38" s="33"/>
      <c r="AM38" s="25"/>
      <c r="AN38" s="25"/>
      <c r="AO38" s="25"/>
      <c r="AP38" s="25"/>
      <c r="AQ38" s="25"/>
      <c r="AR38" s="25"/>
      <c r="AS38" s="31">
        <f>+AS37*22</f>
        <v>4264183</v>
      </c>
      <c r="AT38" s="31">
        <f>+AT37/2</f>
        <v>17440385</v>
      </c>
      <c r="AU38" s="25"/>
      <c r="AV38" s="34"/>
      <c r="AW38" s="25"/>
      <c r="AX38" s="25"/>
      <c r="AY38" s="22"/>
      <c r="AZ38" s="25"/>
    </row>
    <row r="39" spans="1:52" hidden="1" x14ac:dyDescent="0.2">
      <c r="A39" s="25"/>
      <c r="B39" s="25"/>
      <c r="C39" s="25"/>
      <c r="D39" s="25"/>
      <c r="E39" s="25"/>
      <c r="F39" s="25"/>
      <c r="G39" s="34"/>
      <c r="H39" s="34"/>
      <c r="I39" s="34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>
        <f>AC38*8</f>
        <v>1550612</v>
      </c>
      <c r="AD39" s="35">
        <f>AA31+AB31+AC31+AH31</f>
        <v>17436385</v>
      </c>
      <c r="AE39" s="25"/>
      <c r="AF39" s="33"/>
      <c r="AG39" s="33"/>
      <c r="AH39" s="33"/>
      <c r="AI39" s="33"/>
      <c r="AJ39" s="33"/>
      <c r="AK39" s="33"/>
      <c r="AL39" s="33"/>
      <c r="AM39" s="25"/>
      <c r="AN39" s="25"/>
      <c r="AO39" s="25"/>
      <c r="AP39" s="25"/>
      <c r="AQ39" s="25"/>
      <c r="AR39" s="25"/>
      <c r="AS39" s="31"/>
      <c r="AT39" s="31"/>
      <c r="AU39" s="25"/>
      <c r="AV39" s="34"/>
      <c r="AW39" s="25"/>
      <c r="AX39" s="25"/>
      <c r="AY39" s="22"/>
      <c r="AZ39" s="25"/>
    </row>
    <row r="40" spans="1:52" hidden="1" x14ac:dyDescent="0.2">
      <c r="A40" s="25"/>
      <c r="B40" s="25"/>
      <c r="C40" s="25"/>
      <c r="D40" s="25"/>
      <c r="E40" s="25"/>
      <c r="F40" s="25"/>
      <c r="G40" s="34"/>
      <c r="H40" s="34"/>
      <c r="I40" s="34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35">
        <f>AG31+AC39</f>
        <v>5806795</v>
      </c>
      <c r="AD40" s="25"/>
      <c r="AE40" s="25"/>
      <c r="AF40" s="33"/>
      <c r="AG40" s="33"/>
      <c r="AH40" s="33"/>
      <c r="AI40" s="33"/>
      <c r="AJ40" s="33"/>
      <c r="AK40" s="33"/>
      <c r="AL40" s="33"/>
      <c r="AM40" s="25"/>
      <c r="AN40" s="25"/>
      <c r="AO40" s="25"/>
      <c r="AP40" s="25"/>
      <c r="AQ40" s="25"/>
      <c r="AR40" s="25"/>
      <c r="AS40" s="31"/>
      <c r="AT40" s="31"/>
      <c r="AU40" s="25"/>
      <c r="AV40" s="34"/>
      <c r="AW40" s="25"/>
      <c r="AX40" s="25"/>
      <c r="AY40" s="22"/>
      <c r="AZ40" s="25"/>
    </row>
    <row r="41" spans="1:52" hidden="1" x14ac:dyDescent="0.2">
      <c r="A41" s="25"/>
      <c r="B41" s="25"/>
      <c r="C41" s="25"/>
      <c r="D41" s="25"/>
      <c r="E41" s="25"/>
      <c r="F41" s="25"/>
      <c r="G41" s="34"/>
      <c r="H41" s="34"/>
      <c r="I41" s="34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35">
        <f>AF31-AC40</f>
        <v>8000</v>
      </c>
      <c r="AD41" s="25"/>
      <c r="AE41" s="25"/>
      <c r="AF41" s="33">
        <f>T31+AD39</f>
        <v>52325155</v>
      </c>
      <c r="AG41" s="33"/>
      <c r="AH41" s="33"/>
      <c r="AI41" s="33"/>
      <c r="AJ41" s="33"/>
      <c r="AK41" s="33"/>
      <c r="AL41" s="33"/>
      <c r="AM41" s="25"/>
      <c r="AN41" s="25"/>
      <c r="AO41" s="25"/>
      <c r="AP41" s="25"/>
      <c r="AQ41" s="25"/>
      <c r="AR41" s="25"/>
      <c r="AS41" s="31"/>
      <c r="AT41" s="31"/>
      <c r="AU41" s="25"/>
      <c r="AV41" s="34"/>
      <c r="AW41" s="25"/>
      <c r="AX41" s="25"/>
      <c r="AY41" s="22"/>
      <c r="AZ41" s="25"/>
    </row>
    <row r="42" spans="1:52" hidden="1" x14ac:dyDescent="0.2">
      <c r="A42" s="25"/>
      <c r="B42" s="25"/>
      <c r="C42" s="25"/>
      <c r="D42" s="25"/>
      <c r="E42" s="25"/>
      <c r="F42" s="25"/>
      <c r="G42" s="34"/>
      <c r="H42" s="34"/>
      <c r="I42" s="34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33">
        <v>52325155</v>
      </c>
      <c r="AG42" s="33"/>
      <c r="AH42" s="33"/>
      <c r="AI42" s="33"/>
      <c r="AJ42" s="33"/>
      <c r="AK42" s="33"/>
      <c r="AL42" s="33"/>
      <c r="AM42" s="25"/>
      <c r="AN42" s="25"/>
      <c r="AO42" s="25"/>
      <c r="AP42" s="25"/>
      <c r="AQ42" s="25"/>
      <c r="AR42" s="25"/>
      <c r="AS42" s="31"/>
      <c r="AT42" s="31"/>
      <c r="AU42" s="25"/>
      <c r="AV42" s="34"/>
      <c r="AW42" s="25"/>
      <c r="AX42" s="25"/>
      <c r="AY42" s="22"/>
      <c r="AZ42" s="25"/>
    </row>
    <row r="43" spans="1:52" hidden="1" x14ac:dyDescent="0.2">
      <c r="A43" s="25"/>
      <c r="B43" s="25"/>
      <c r="C43" s="25"/>
      <c r="D43" s="25"/>
      <c r="E43" s="25"/>
      <c r="F43" s="25"/>
      <c r="G43" s="34"/>
      <c r="H43" s="34"/>
      <c r="I43" s="34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33">
        <f>AF41-AF42</f>
        <v>0</v>
      </c>
      <c r="AG43" s="33"/>
      <c r="AH43" s="33"/>
      <c r="AI43" s="33"/>
      <c r="AJ43" s="33"/>
      <c r="AK43" s="33"/>
      <c r="AL43" s="33"/>
      <c r="AM43" s="25"/>
      <c r="AN43" s="25"/>
      <c r="AO43" s="25"/>
      <c r="AP43" s="25"/>
      <c r="AQ43" s="25"/>
      <c r="AR43" s="25"/>
      <c r="AS43" s="31"/>
      <c r="AT43" s="31"/>
      <c r="AU43" s="25"/>
      <c r="AV43" s="34"/>
      <c r="AW43" s="25"/>
      <c r="AX43" s="25"/>
      <c r="AY43" s="22"/>
      <c r="AZ43" s="25"/>
    </row>
    <row r="44" spans="1:52" hidden="1" x14ac:dyDescent="0.2">
      <c r="AF44" s="37"/>
      <c r="AG44" s="37"/>
      <c r="AH44" s="37"/>
      <c r="AI44" s="37"/>
      <c r="AJ44" s="37"/>
      <c r="AK44" s="37"/>
      <c r="AL44" s="37"/>
    </row>
    <row r="45" spans="1:52" hidden="1" x14ac:dyDescent="0.2">
      <c r="AF45" s="37"/>
      <c r="AG45" s="37"/>
      <c r="AH45" s="37"/>
      <c r="AI45" s="37"/>
      <c r="AJ45" s="37"/>
      <c r="AK45" s="37"/>
      <c r="AL45" s="37"/>
      <c r="AO45" s="26">
        <f>+AO7/2</f>
        <v>54000000</v>
      </c>
    </row>
    <row r="46" spans="1:52" hidden="1" x14ac:dyDescent="0.2">
      <c r="AF46" s="37"/>
      <c r="AG46" s="37"/>
      <c r="AH46" s="37"/>
      <c r="AI46" s="37"/>
      <c r="AJ46" s="37"/>
      <c r="AK46" s="37"/>
      <c r="AL46" s="37"/>
    </row>
    <row r="47" spans="1:52" hidden="1" x14ac:dyDescent="0.2">
      <c r="AF47" s="37"/>
      <c r="AG47" s="37"/>
      <c r="AH47" s="37"/>
      <c r="AI47" s="37"/>
      <c r="AJ47" s="37"/>
      <c r="AK47" s="37"/>
      <c r="AL47" s="37"/>
    </row>
    <row r="48" spans="1:52" hidden="1" x14ac:dyDescent="0.2">
      <c r="AF48" s="37"/>
      <c r="AG48" s="37"/>
      <c r="AH48" s="37"/>
      <c r="AI48" s="37"/>
      <c r="AJ48" s="37"/>
      <c r="AK48" s="37"/>
      <c r="AL48" s="37"/>
      <c r="AV48" s="40"/>
    </row>
    <row r="49" spans="18:48" hidden="1" x14ac:dyDescent="0.2">
      <c r="AF49" s="37"/>
      <c r="AG49" s="37"/>
      <c r="AH49" s="37"/>
      <c r="AI49" s="37"/>
      <c r="AJ49" s="37"/>
      <c r="AK49" s="37"/>
      <c r="AL49" s="37"/>
      <c r="AV49" s="40"/>
    </row>
    <row r="50" spans="18:48" hidden="1" x14ac:dyDescent="0.2">
      <c r="R50" s="41"/>
      <c r="AF50" s="37"/>
      <c r="AG50" s="37"/>
      <c r="AH50" s="37"/>
      <c r="AI50" s="37"/>
      <c r="AJ50" s="37"/>
      <c r="AK50" s="37"/>
      <c r="AL50" s="37"/>
      <c r="AS50" s="38">
        <v>38071722</v>
      </c>
      <c r="AV50" s="40"/>
    </row>
    <row r="51" spans="18:48" hidden="1" x14ac:dyDescent="0.2">
      <c r="T51" s="42">
        <f>T32/6</f>
        <v>5814795</v>
      </c>
      <c r="AF51" s="43"/>
      <c r="AI51" s="43"/>
      <c r="AS51" s="44">
        <f>AS50/6</f>
        <v>6345287</v>
      </c>
      <c r="AV51" s="40"/>
    </row>
    <row r="52" spans="18:48" hidden="1" x14ac:dyDescent="0.2">
      <c r="T52" s="42">
        <f>W32/6</f>
        <v>5813461.666666667</v>
      </c>
      <c r="AV52" s="40"/>
    </row>
    <row r="53" spans="18:48" hidden="1" x14ac:dyDescent="0.2">
      <c r="AV53" s="40"/>
    </row>
    <row r="54" spans="18:48" hidden="1" x14ac:dyDescent="0.2"/>
    <row r="55" spans="18:48" x14ac:dyDescent="0.2">
      <c r="AG55" s="43"/>
    </row>
  </sheetData>
  <autoFilter ref="A1:AZ43" xr:uid="{D32B060F-5BC3-4B7A-BED3-06698CF4A00B}">
    <filterColumn colId="3">
      <filters>
        <filter val="PAULA ANDREA CRUZ VARGAS"/>
      </filters>
    </filterColumn>
  </autoFilter>
  <conditionalFormatting sqref="C1:AP1">
    <cfRule type="containsBlanks" dxfId="0" priority="1">
      <formula>LEN(TRIM(C1))=0</formula>
    </cfRule>
  </conditionalFormatting>
  <pageMargins left="0.7" right="0.7" top="0.75" bottom="0.75" header="0.3" footer="0.3"/>
  <ignoredErrors>
    <ignoredError sqref="AJ15 AJ21 AK16 AK22 AJ4:AK4 AJ3 AJ9 AK10 AJ5:AK8 AJ11:AK13 AJ10 AK9 AK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29E23-96A1-46A0-8E29-B142688E33F9}">
  <dimension ref="H4:I74"/>
  <sheetViews>
    <sheetView topLeftCell="A16" workbookViewId="0">
      <selection activeCell="I17" sqref="I17:I48"/>
    </sheetView>
  </sheetViews>
  <sheetFormatPr baseColWidth="10" defaultColWidth="11.42578125" defaultRowHeight="15" x14ac:dyDescent="0.25"/>
  <cols>
    <col min="9" max="9" width="13.140625" bestFit="1" customWidth="1"/>
  </cols>
  <sheetData>
    <row r="4" ht="15" customHeight="1" x14ac:dyDescent="0.25"/>
    <row r="5" ht="15" customHeight="1" x14ac:dyDescent="0.25"/>
    <row r="6" ht="15" customHeight="1" x14ac:dyDescent="0.25"/>
    <row r="7" ht="15" customHeight="1" x14ac:dyDescent="0.25"/>
    <row r="8" ht="15" customHeight="1" x14ac:dyDescent="0.25"/>
    <row r="9" ht="15" customHeight="1" x14ac:dyDescent="0.25"/>
    <row r="10" ht="15" customHeight="1" x14ac:dyDescent="0.25"/>
    <row r="11" ht="15" customHeight="1" x14ac:dyDescent="0.25"/>
    <row r="12" ht="15" customHeight="1" x14ac:dyDescent="0.25"/>
    <row r="13" ht="15" customHeight="1" x14ac:dyDescent="0.25"/>
    <row r="14" ht="15" customHeight="1" x14ac:dyDescent="0.25"/>
    <row r="15" ht="15" customHeight="1" x14ac:dyDescent="0.25"/>
    <row r="16" ht="15" customHeight="1" x14ac:dyDescent="0.25"/>
    <row r="17" spans="8:9" ht="15" customHeight="1" x14ac:dyDescent="0.25">
      <c r="H17">
        <v>52199123</v>
      </c>
      <c r="I17" s="1">
        <v>1600000</v>
      </c>
    </row>
    <row r="18" spans="8:9" ht="15" customHeight="1" x14ac:dyDescent="0.25">
      <c r="H18">
        <v>51773607</v>
      </c>
      <c r="I18" s="1">
        <v>1600000</v>
      </c>
    </row>
    <row r="19" spans="8:9" ht="15" customHeight="1" x14ac:dyDescent="0.25">
      <c r="H19">
        <v>79372474</v>
      </c>
      <c r="I19" s="1">
        <v>1600000</v>
      </c>
    </row>
    <row r="20" spans="8:9" ht="15" customHeight="1" x14ac:dyDescent="0.25">
      <c r="H20">
        <v>51687555</v>
      </c>
      <c r="I20" s="1">
        <v>1600000</v>
      </c>
    </row>
    <row r="21" spans="8:9" ht="15" customHeight="1" x14ac:dyDescent="0.25">
      <c r="H21">
        <v>80408734</v>
      </c>
      <c r="I21" s="1">
        <v>1600000</v>
      </c>
    </row>
    <row r="22" spans="8:9" ht="15" customHeight="1" x14ac:dyDescent="0.25">
      <c r="H22">
        <v>79595337</v>
      </c>
      <c r="I22" s="1">
        <v>1600000</v>
      </c>
    </row>
    <row r="23" spans="8:9" ht="15" customHeight="1" x14ac:dyDescent="0.25">
      <c r="H23">
        <v>1051954314</v>
      </c>
      <c r="I23" s="1">
        <v>800000</v>
      </c>
    </row>
    <row r="24" spans="8:9" ht="15" customHeight="1" x14ac:dyDescent="0.25">
      <c r="H24">
        <v>1020798312</v>
      </c>
      <c r="I24" s="1">
        <v>533333.32999999996</v>
      </c>
    </row>
    <row r="25" spans="8:9" ht="15" customHeight="1" x14ac:dyDescent="0.25">
      <c r="H25">
        <v>52966149</v>
      </c>
      <c r="I25" s="1">
        <v>533333.32999999996</v>
      </c>
    </row>
    <row r="26" spans="8:9" ht="15" customHeight="1" x14ac:dyDescent="0.25">
      <c r="H26">
        <v>46678285</v>
      </c>
      <c r="I26" s="1">
        <v>533333.32999999996</v>
      </c>
    </row>
    <row r="27" spans="8:9" ht="15" customHeight="1" x14ac:dyDescent="0.25">
      <c r="H27">
        <v>53079503</v>
      </c>
      <c r="I27" s="1">
        <v>533333.32999999996</v>
      </c>
    </row>
    <row r="28" spans="8:9" ht="15" customHeight="1" x14ac:dyDescent="0.25">
      <c r="H28">
        <v>1075228159</v>
      </c>
      <c r="I28" s="1">
        <v>266666.67</v>
      </c>
    </row>
    <row r="29" spans="8:9" ht="15" customHeight="1" x14ac:dyDescent="0.25">
      <c r="H29">
        <v>52441933</v>
      </c>
      <c r="I29" s="1">
        <v>266666.67</v>
      </c>
    </row>
    <row r="30" spans="8:9" ht="15" customHeight="1" x14ac:dyDescent="0.25">
      <c r="H30">
        <v>32797993</v>
      </c>
      <c r="I30" s="1">
        <v>1151205</v>
      </c>
    </row>
    <row r="31" spans="8:9" ht="15" customHeight="1" x14ac:dyDescent="0.25">
      <c r="H31">
        <v>52835696</v>
      </c>
      <c r="I31" s="1">
        <v>959337.5</v>
      </c>
    </row>
    <row r="32" spans="8:9" ht="15" customHeight="1" x14ac:dyDescent="0.25">
      <c r="H32">
        <v>1022349594</v>
      </c>
      <c r="I32" s="1">
        <v>1151205</v>
      </c>
    </row>
    <row r="33" spans="8:9" ht="15" customHeight="1" x14ac:dyDescent="0.25">
      <c r="H33">
        <v>1014225483</v>
      </c>
      <c r="I33" s="1">
        <v>959337.5</v>
      </c>
    </row>
    <row r="34" spans="8:9" ht="15" customHeight="1" x14ac:dyDescent="0.25">
      <c r="H34">
        <v>79372817</v>
      </c>
      <c r="I34" s="1">
        <v>1817395.43</v>
      </c>
    </row>
    <row r="35" spans="8:9" ht="15" customHeight="1" x14ac:dyDescent="0.25">
      <c r="H35">
        <v>32797302</v>
      </c>
      <c r="I35" s="1">
        <v>1321742.1299999999</v>
      </c>
    </row>
    <row r="36" spans="8:9" x14ac:dyDescent="0.25">
      <c r="H36">
        <v>1010192076</v>
      </c>
      <c r="I36" s="1">
        <v>1486959.9</v>
      </c>
    </row>
    <row r="37" spans="8:9" x14ac:dyDescent="0.25">
      <c r="H37">
        <v>52913802</v>
      </c>
      <c r="I37" s="1">
        <v>1486959.9</v>
      </c>
    </row>
    <row r="38" spans="8:9" x14ac:dyDescent="0.25">
      <c r="H38">
        <v>53068984</v>
      </c>
      <c r="I38" s="1">
        <v>1486959.9</v>
      </c>
    </row>
    <row r="39" spans="8:9" x14ac:dyDescent="0.25">
      <c r="H39">
        <v>52109604</v>
      </c>
      <c r="I39" s="1">
        <v>1486959.9</v>
      </c>
    </row>
    <row r="40" spans="8:9" x14ac:dyDescent="0.25">
      <c r="H40">
        <v>1024528174</v>
      </c>
      <c r="I40" s="1">
        <v>1486959.9</v>
      </c>
    </row>
    <row r="41" spans="8:9" x14ac:dyDescent="0.25">
      <c r="H41">
        <v>52735715</v>
      </c>
      <c r="I41" s="1">
        <v>1486959.9</v>
      </c>
    </row>
    <row r="42" spans="8:9" x14ac:dyDescent="0.25">
      <c r="H42">
        <v>1070965747</v>
      </c>
      <c r="I42" s="1">
        <v>2115095.67</v>
      </c>
    </row>
    <row r="43" spans="8:9" ht="15" customHeight="1" x14ac:dyDescent="0.25">
      <c r="H43">
        <v>1014257771</v>
      </c>
      <c r="I43" s="1">
        <v>266666.67</v>
      </c>
    </row>
    <row r="44" spans="8:9" ht="15" customHeight="1" x14ac:dyDescent="0.25">
      <c r="H44">
        <v>1075208563</v>
      </c>
      <c r="I44" s="1">
        <v>266666.67</v>
      </c>
    </row>
    <row r="45" spans="8:9" ht="15" customHeight="1" x14ac:dyDescent="0.25">
      <c r="H45">
        <v>1000588765</v>
      </c>
      <c r="I45" s="1">
        <v>834720.33</v>
      </c>
    </row>
    <row r="46" spans="8:9" ht="15" customHeight="1" x14ac:dyDescent="0.25">
      <c r="H46">
        <v>1018513487</v>
      </c>
      <c r="I46" s="1">
        <v>1550612</v>
      </c>
    </row>
    <row r="47" spans="8:9" ht="15" customHeight="1" x14ac:dyDescent="0.25">
      <c r="H47">
        <v>87215913</v>
      </c>
      <c r="I47" s="1">
        <v>1744438.5</v>
      </c>
    </row>
    <row r="48" spans="8:9" ht="15" customHeight="1" x14ac:dyDescent="0.25">
      <c r="H48">
        <v>11350154</v>
      </c>
      <c r="I48" s="1">
        <v>2590390.9300000002</v>
      </c>
    </row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BASE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Yuly Andrea Gomez Gutierrez</dc:creator>
  <cp:keywords/>
  <dc:description/>
  <cp:lastModifiedBy>Lucy Colmenares Camargo</cp:lastModifiedBy>
  <cp:revision/>
  <dcterms:created xsi:type="dcterms:W3CDTF">2025-09-08T21:36:59Z</dcterms:created>
  <dcterms:modified xsi:type="dcterms:W3CDTF">2026-07-06T18:58:02Z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