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OS PABLOP\ESTUDIOS PREVIOS\LAVADO DE VEHICULOS\LAVADO DE VEHICULOS 2026\"/>
    </mc:Choice>
  </mc:AlternateContent>
  <bookViews>
    <workbookView xWindow="-120" yWindow="-120" windowWidth="20730" windowHeight="11760"/>
  </bookViews>
  <sheets>
    <sheet name="LAVADO DE VEHICULOS 2026" sheetId="1" r:id="rId1"/>
    <sheet name="INDEXACIÓN" sheetId="4" r:id="rId2"/>
    <sheet name="VALORES HISTÓRICO" sheetId="5" r:id="rId3"/>
    <sheet name="CONTRATOS AMB" sheetId="2" r:id="rId4"/>
    <sheet name="PROCESOS OTRAS ENTIDADES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dos" hidden="1">#REF!</definedName>
    <definedName name="_Fill" hidden="1">#REF!</definedName>
    <definedName name="_xlnm._FilterDatabase" hidden="1">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ño1">[2]CONFIGURACIÓN!$F$9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[3]lista!$A$11:$A$13</definedName>
    <definedName name="bn" hidden="1">{"'内訳表'!$B$2:$N$64"}</definedName>
    <definedName name="BOL" hidden="1">#REF!</definedName>
    <definedName name="Ｂグラフ" hidden="1">#REF!</definedName>
    <definedName name="CALENDARIO">[2]CALENDARIO!$B$6:$H$161</definedName>
    <definedName name="Ｃグラフ" hidden="1">#REF!</definedName>
    <definedName name="dasd" hidden="1">#REF!</definedName>
    <definedName name="Decision">[4]lista!$A$6:$A$7</definedName>
    <definedName name="dependencia">'[5]Datos Inciales'!$B$5:$B$30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[2]CONFIGURACIÓN!$C$10</definedName>
    <definedName name="fecha_inicio_servicio">[2]CONFIGURACIÓN!$C$9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S">'[5]Datos Inciales'!$B$40:$B$49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hidden="1">{"'内訳表'!$B$2:$N$64"}</definedName>
    <definedName name="Info_Prazo_do_contrato">[6]Seletor!$C$13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cro" hidden="1">#REF!</definedName>
    <definedName name="margen">'[2]Cash Flow (COP)'!$O$68</definedName>
    <definedName name="markup_infra">[2]DASHBOARD!$D$20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>BASE DE [7]DATOS!$B$2:$B$2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'[8]Cons Cotizac - Examenes médicos'!$M$12:$R$12</definedName>
    <definedName name="ndc" hidden="1">{"'内訳表'!$B$2:$N$64"}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ueva">[3]lista!$A$2:$A$3</definedName>
    <definedName name="oo" hidden="1">{"'内訳表'!$B$2:$N$64"}</definedName>
    <definedName name="PARTICIPACION">[4]lista!$A$15:$A$17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rocedencia">[4]lista!$A$2:$A$3</definedName>
    <definedName name="PRUEBA" hidden="1">#REF!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de" hidden="1">#REF!</definedName>
    <definedName name="sencount" hidden="1">2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ipo">[4]lista!$A$11:$A$13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hidden="1">#REF!</definedName>
    <definedName name="venc">'[2]Cash Flow (COP)'!$D$10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>[9]lista!$A$11:$A$13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4" l="1"/>
  <c r="G4" i="5" l="1"/>
  <c r="O19" i="1" l="1"/>
  <c r="P20" i="1" l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19" i="1"/>
  <c r="Q19" i="1" s="1"/>
  <c r="O20" i="1"/>
  <c r="O21" i="1"/>
  <c r="O22" i="1"/>
  <c r="O23" i="1"/>
  <c r="O24" i="1"/>
  <c r="O25" i="1"/>
  <c r="O26" i="1"/>
  <c r="O27" i="1"/>
  <c r="O28" i="1"/>
  <c r="O29" i="1"/>
  <c r="O30" i="1"/>
  <c r="R30" i="1" s="1"/>
  <c r="O31" i="1"/>
  <c r="O32" i="1"/>
  <c r="O33" i="1"/>
  <c r="O34" i="1"/>
  <c r="R34" i="1" l="1"/>
  <c r="Q33" i="1"/>
  <c r="Q31" i="1"/>
  <c r="Q29" i="1"/>
  <c r="Q28" i="1"/>
  <c r="R27" i="1"/>
  <c r="R26" i="1"/>
  <c r="Q25" i="1"/>
  <c r="R22" i="1"/>
  <c r="Q30" i="1"/>
  <c r="R32" i="1"/>
  <c r="R24" i="1"/>
  <c r="Q23" i="1"/>
  <c r="Q34" i="1"/>
  <c r="Q21" i="1"/>
  <c r="R28" i="1"/>
  <c r="Q20" i="1"/>
  <c r="Q26" i="1"/>
  <c r="R25" i="1"/>
  <c r="Q22" i="1"/>
  <c r="R20" i="1"/>
  <c r="R33" i="1"/>
  <c r="Q32" i="1"/>
  <c r="R31" i="1"/>
  <c r="R23" i="1"/>
  <c r="R19" i="1"/>
  <c r="Q27" i="1"/>
  <c r="Q24" i="1"/>
  <c r="R29" i="1"/>
  <c r="R21" i="1"/>
  <c r="T27" i="1" l="1"/>
  <c r="S27" i="1"/>
  <c r="U27" i="1"/>
  <c r="V27" i="1" s="1"/>
  <c r="T21" i="1"/>
  <c r="S21" i="1"/>
  <c r="W21" i="1" s="1"/>
  <c r="U21" i="1"/>
  <c r="S32" i="1"/>
  <c r="T32" i="1"/>
  <c r="U32" i="1"/>
  <c r="W32" i="1" s="1"/>
  <c r="S29" i="1"/>
  <c r="T29" i="1"/>
  <c r="W29" i="1" s="1"/>
  <c r="U29" i="1"/>
  <c r="V29" i="1" s="1"/>
  <c r="S23" i="1"/>
  <c r="T23" i="1"/>
  <c r="U23" i="1"/>
  <c r="S28" i="1"/>
  <c r="T28" i="1"/>
  <c r="W28" i="1" s="1"/>
  <c r="U28" i="1"/>
  <c r="T30" i="1"/>
  <c r="V30" i="1" s="1"/>
  <c r="U30" i="1"/>
  <c r="W30" i="1" s="1"/>
  <c r="S30" i="1"/>
  <c r="S25" i="1"/>
  <c r="V25" i="1" s="1"/>
  <c r="T25" i="1"/>
  <c r="W25" i="1" s="1"/>
  <c r="U25" i="1"/>
  <c r="S31" i="1"/>
  <c r="V31" i="1" s="1"/>
  <c r="X31" i="1" s="1"/>
  <c r="Y31" i="1" s="1"/>
  <c r="AA31" i="1" s="1"/>
  <c r="T31" i="1"/>
  <c r="U31" i="1"/>
  <c r="W31" i="1" s="1"/>
  <c r="S22" i="1"/>
  <c r="T22" i="1"/>
  <c r="V22" i="1" s="1"/>
  <c r="U22" i="1"/>
  <c r="W22" i="1" s="1"/>
  <c r="T33" i="1"/>
  <c r="S33" i="1"/>
  <c r="U33" i="1"/>
  <c r="T24" i="1"/>
  <c r="U24" i="1"/>
  <c r="W24" i="1" s="1"/>
  <c r="S24" i="1"/>
  <c r="S19" i="1"/>
  <c r="T19" i="1"/>
  <c r="W19" i="1" s="1"/>
  <c r="U26" i="1"/>
  <c r="T26" i="1"/>
  <c r="W26" i="1" s="1"/>
  <c r="S26" i="1"/>
  <c r="T34" i="1"/>
  <c r="W34" i="1" s="1"/>
  <c r="S34" i="1"/>
  <c r="V34" i="1" s="1"/>
  <c r="X34" i="1" s="1"/>
  <c r="U34" i="1"/>
  <c r="S20" i="1"/>
  <c r="T20" i="1"/>
  <c r="V20" i="1" s="1"/>
  <c r="U20" i="1"/>
  <c r="W20" i="1" s="1"/>
  <c r="U19" i="1"/>
  <c r="W33" i="1"/>
  <c r="W23" i="1"/>
  <c r="W27" i="1"/>
  <c r="V28" i="1" l="1"/>
  <c r="X28" i="1" s="1"/>
  <c r="Y28" i="1" s="1"/>
  <c r="AA28" i="1" s="1"/>
  <c r="Y34" i="1"/>
  <c r="AA34" i="1" s="1"/>
  <c r="V26" i="1"/>
  <c r="X26" i="1" s="1"/>
  <c r="Y26" i="1" s="1"/>
  <c r="AA26" i="1" s="1"/>
  <c r="X25" i="1"/>
  <c r="Y25" i="1" s="1"/>
  <c r="AA25" i="1" s="1"/>
  <c r="X22" i="1"/>
  <c r="Y22" i="1" s="1"/>
  <c r="AA22" i="1" s="1"/>
  <c r="X29" i="1"/>
  <c r="Y29" i="1" s="1"/>
  <c r="AA29" i="1" s="1"/>
  <c r="X27" i="1"/>
  <c r="Y27" i="1" s="1"/>
  <c r="AA27" i="1" s="1"/>
  <c r="X20" i="1"/>
  <c r="Y20" i="1" s="1"/>
  <c r="AA20" i="1" s="1"/>
  <c r="X30" i="1"/>
  <c r="Y30" i="1" s="1"/>
  <c r="AA30" i="1" s="1"/>
  <c r="V23" i="1"/>
  <c r="X23" i="1" s="1"/>
  <c r="Y23" i="1" s="1"/>
  <c r="V33" i="1"/>
  <c r="V24" i="1"/>
  <c r="V19" i="1"/>
  <c r="X19" i="1" s="1"/>
  <c r="Y19" i="1" s="1"/>
  <c r="V32" i="1"/>
  <c r="V21" i="1"/>
  <c r="X32" i="1" l="1"/>
  <c r="Y32" i="1"/>
  <c r="AA32" i="1" s="1"/>
  <c r="X24" i="1"/>
  <c r="Y24" i="1" s="1"/>
  <c r="AA24" i="1" s="1"/>
  <c r="X33" i="1"/>
  <c r="Y33" i="1" s="1"/>
  <c r="AA33" i="1" s="1"/>
  <c r="X21" i="1"/>
  <c r="Y21" i="1" s="1"/>
  <c r="AA21" i="1" s="1"/>
  <c r="AA23" i="1"/>
  <c r="AA19" i="1"/>
  <c r="AA35" i="1" l="1"/>
</calcChain>
</file>

<file path=xl/sharedStrings.xml><?xml version="1.0" encoding="utf-8"?>
<sst xmlns="http://schemas.openxmlformats.org/spreadsheetml/2006/main" count="139" uniqueCount="109">
  <si>
    <t xml:space="preserve">ITEM </t>
  </si>
  <si>
    <t xml:space="preserve">DESCRIPCION </t>
  </si>
  <si>
    <t xml:space="preserve">CANTIDAD </t>
  </si>
  <si>
    <t xml:space="preserve">UNIDAD </t>
  </si>
  <si>
    <t>UNIDAD</t>
  </si>
  <si>
    <t>AUTOMOVIL SEDAN LAVADO BASICO</t>
  </si>
  <si>
    <t>AUTOMOVIL SEDAN LAVADO GENERAL (CON CHASIS Y MOTOR)</t>
  </si>
  <si>
    <t>CAMIONETA PLATON LAVADO BASICO</t>
  </si>
  <si>
    <t>CAMIONETA PLATON LAVADO GENERAL (CON CHASIS Y MOTOR)</t>
  </si>
  <si>
    <t>FURGON LAVADO BASICO</t>
  </si>
  <si>
    <t>FURGON LAVADO GENERAL (CON CHASIS Y MOTOR)</t>
  </si>
  <si>
    <t>VAN PASAJEROS LAVADO BASICO</t>
  </si>
  <si>
    <t>VAN PASAJEROS LAVADO GENERAL (CON CHASIS Y MOTOR)</t>
  </si>
  <si>
    <t>MOTO BAJO CILINDRAJE  (motores de 250 cc o menos) LAVADO BASICO</t>
  </si>
  <si>
    <t>MOTO BAJO CILINDRAJE  (motores de 250 cc o menos) LAVADO GENERAL (CON CHASIS Y MOTOR)</t>
  </si>
  <si>
    <t>MOTO ALTO CILINDRAJE (motores mayores a los 250) LAVADO BASICO</t>
  </si>
  <si>
    <t>MOTO ALTO CILINDRAJE (motores mayores a los 250) LAVADO GENERAL (CON CHASIS Y MOTOR)</t>
  </si>
  <si>
    <t>CAMIONETA LAVADO BASICO</t>
  </si>
  <si>
    <t>CAMIONETA LAVADO GENERAL (CON CHASIS Y MOTOR)</t>
  </si>
  <si>
    <t>CAMIONETA TIPO SUV LAVADO BASICO</t>
  </si>
  <si>
    <t>CAMIONETA TIPO SUV LAVADO GENERAL (CON CHASIS Y MOTOR)</t>
  </si>
  <si>
    <t>PROVEEDOR 1
SANES &amp; ASOCIADOS</t>
  </si>
  <si>
    <t>PROVEEDOR 2
V-CARS</t>
  </si>
  <si>
    <t xml:space="preserve">
PROVEEDOR 3
SEÑOR WAI SAS
</t>
  </si>
  <si>
    <t>ANÁLISIS DEL MÉTODO TÚNEL CON DESVIACIÓN ESTÁNDAR</t>
  </si>
  <si>
    <t>PRESUPUESTO ESTIMADO 2026</t>
  </si>
  <si>
    <t xml:space="preserve"> IVA</t>
  </si>
  <si>
    <t>Valor Unitario Incluido IVA</t>
  </si>
  <si>
    <t>% IVA</t>
  </si>
  <si>
    <t>Promedio del Valor Unitario Antes de IVA</t>
  </si>
  <si>
    <t>Desviación Estandar</t>
  </si>
  <si>
    <t>Cotización Proveedor No. 1
(Valor Unitario Antes de IVA)</t>
  </si>
  <si>
    <t>Cotización Proveedor No. 2
(Valor Unitario Antes de IVA)</t>
  </si>
  <si>
    <t>Cotización Proveedor No. 3
(Valor Unitario Antes de IVA)</t>
  </si>
  <si>
    <t xml:space="preserve"> VALOR  I.V.A.</t>
  </si>
  <si>
    <t>Cantidad estimada X vigencia del contrato  (informativo)</t>
  </si>
  <si>
    <t>VALOR TOTAL * CANTIDADES</t>
  </si>
  <si>
    <t>PRESUPUESTO ESTIMADO</t>
  </si>
  <si>
    <t>ALCALDÍA MAYOR DE BOGOTÁ
Secretaría General
Subdirección Servicos Administrativa - SSA
CONSTANCIA DE ESTUDIO DE MERCADO</t>
  </si>
  <si>
    <r>
      <rPr>
        <b/>
        <sz val="9"/>
        <rFont val="Arial"/>
        <family val="2"/>
      </rPr>
      <t xml:space="preserve">Fecha de Elaboración: </t>
    </r>
    <r>
      <rPr>
        <sz val="9"/>
        <rFont val="Arial"/>
        <family val="2"/>
      </rPr>
      <t>10 de abril de 2026</t>
    </r>
  </si>
  <si>
    <t>La Subdirección de Servicios Administrativos de la Secretaría General de la Alcaldía Mayor de Bogotá D.C.,  efectuó la consulta de precios de mercado para adelantar un proceso a través de la modalidad de SUBASTA INVERSA , analizando las siguientes variable</t>
  </si>
  <si>
    <r>
      <rPr>
        <b/>
        <sz val="9"/>
        <color rgb="FF000000"/>
        <rFont val="Arial"/>
        <family val="2"/>
      </rPr>
      <t xml:space="preserve">OBJETO: </t>
    </r>
    <r>
      <rPr>
        <sz val="9"/>
        <color rgb="FF000000"/>
        <rFont val="Arial"/>
        <family val="2"/>
      </rPr>
      <t>Prestar el servicio de lavado de vehículos para la Secretaría General de la Alcaldía Mayor de Bogotá.</t>
    </r>
  </si>
  <si>
    <t>Para tal efecto, se le dio a conocer al mercado las especificaciones técnicas de lo requerido para el presente proceso. A continuación se relacionan las invitaciones realizadas y la cotización recibida que cumplen las especificaciones del Anexo Técnico:</t>
  </si>
  <si>
    <t>MEDIO</t>
  </si>
  <si>
    <t>CANTIDAD COTIZACIONES RECIBIDAS</t>
  </si>
  <si>
    <t>SECOP II</t>
  </si>
  <si>
    <t>CORREO ELECTRÓNICO</t>
  </si>
  <si>
    <t>TOTAL</t>
  </si>
  <si>
    <r>
      <t xml:space="preserve">Plazo estimado de ejecución: </t>
    </r>
    <r>
      <rPr>
        <sz val="12"/>
        <color theme="1"/>
        <rFont val="Arial Narrow"/>
        <family val="2"/>
      </rPr>
      <t>8 Meses</t>
    </r>
  </si>
  <si>
    <t>ESPECIFICACIONES TÉCNICAS</t>
  </si>
  <si>
    <t>Entidad Estatal</t>
  </si>
  <si>
    <t>Referencia</t>
  </si>
  <si>
    <t>Descripción</t>
  </si>
  <si>
    <t>Cuantía</t>
  </si>
  <si>
    <t>Enlace SECOP II</t>
  </si>
  <si>
    <t>CORPOURABA</t>
  </si>
  <si>
    <t>MC-200-13-03-01-0041-2024</t>
  </si>
  <si>
    <t>Contratar el servicio de limpieza de los vehículos que forman parte del parque automotor de la CORPORACION en la territorial Nutibara.</t>
  </si>
  <si>
    <t>https://community.secop.gov.co/Public/Tendering/ContractNoticeManagement/Index?currentLanguage=es-CO&amp;Page=login&amp;Country=CO&amp;SkinName=CCE</t>
  </si>
  <si>
    <t>MINISTERIO DE DEFENSA NACIONAL</t>
  </si>
  <si>
    <t>MINIMA CUANTÍA No. 038-2024-MDN-UGG-DA</t>
  </si>
  <si>
    <t>SERVICIO DE LAVADO, LIMPIEZA Y DESINFECCIÓN PARA LOS VEHÍCULOS DE PROPIEDAD O A CARGO DEL MINISTERIO DE DEFENSA NACIONAL UNIDAD DE GESTIÓN GENERAL</t>
  </si>
  <si>
    <t>SECRETARIA DISTRITAL DE SEGURIDAD, CONVIVENCIA Y JUSTICIA</t>
  </si>
  <si>
    <t>SCJ-MC-008-2024</t>
  </si>
  <si>
    <t>LAVADO Y DESPINCHADO</t>
  </si>
  <si>
    <t>E.S.E HOSPITAL SAN SEBASTIAN DE SURATA</t>
  </si>
  <si>
    <t>ESES-CPS-018-2025</t>
  </si>
  <si>
    <t>PRESTACION DE SERVICIOS DE TRANSPORTE, RECOLECCION DE RESIDUOS HOSPITALARIOS INCLUYENDO COVID19 Y DISPOSICION FINAL GENERADOS POR LA ESE HOSPITAL SAN SEBASTIAN DE SURATA</t>
  </si>
  <si>
    <t>FISCALÍA GENERAL DE LA NACIÓN REGIONAL NOROCCIDENTAL</t>
  </si>
  <si>
    <t>FGN-RNOCC-MC-0006-2025</t>
  </si>
  <si>
    <t>SERVICIO DE LIMPIEZA, DESINFECCIÓN Y LAVADO EN GENERAL DEL PARQUE AUTOMOTOR EN SERVICIO DE LA SUBDIRECCIÓN REGIONAL NOROCCIDENTAL COMPUESTO POR AUTOMOVILES, CAMIONETAS Y NECROMOVILES</t>
  </si>
  <si>
    <t>MUNICIPIO DE VILLAPINZON</t>
  </si>
  <si>
    <t>MC-007-2025</t>
  </si>
  <si>
    <t>SERVICIOS DE LAVADO PARA LOS VEHÍCULOS Y MAQUINARIA PESADA DE PROPIEDAD O A CARGO DEL MUNICIPIO, ASIMISMO PARA LOS VEHÍCULOS DE LA FUERZA PÚBLICA QUE PRESTEN SERVICIOS EN EL MUNICIPIO DE VILLAPINZÓN</t>
  </si>
  <si>
    <t xml:space="preserve">Menor Valor Total Sin IVA Incluido que está dentro del Túnel </t>
  </si>
  <si>
    <t>TOTAL GENERAL</t>
  </si>
  <si>
    <t>SECRETARÍA GENERAL DE LA ALCALDÍA MAYOR DE BOGOTÁ</t>
  </si>
  <si>
    <t>SGA-MC-018-2023</t>
  </si>
  <si>
    <t>Servicio de lavado general y/o enjuague para los vehículos del parque automotor de la Entidad y los que le hayan sido asignados por la necesidad del servicio, conforme con las especificaciones técnicas requeridas.</t>
  </si>
  <si>
    <t>VIGENCIA 2023</t>
  </si>
  <si>
    <t>Número de Contrato</t>
  </si>
  <si>
    <t>Número de Proceso</t>
  </si>
  <si>
    <t>Objeto</t>
  </si>
  <si>
    <t>Modalidad de Contratación</t>
  </si>
  <si>
    <t>Presupuesto</t>
  </si>
  <si>
    <t>Proveedor</t>
  </si>
  <si>
    <t>Tiempo de Ejecución</t>
  </si>
  <si>
    <t xml:space="preserve">CENTRO CAR 19 LIMITADA </t>
  </si>
  <si>
    <t>Valor del Contrato</t>
  </si>
  <si>
    <t>4233100-661-2023</t>
  </si>
  <si>
    <t>Mínima cuantía</t>
  </si>
  <si>
    <t>345 Días</t>
  </si>
  <si>
    <t>https://community.secop.gov.co/Public/Tendering/OpportunityDetail/Index?noticeUID=CO1.NTC.4414695</t>
  </si>
  <si>
    <t>Indexación</t>
  </si>
  <si>
    <t>ÍNDICE IPC CORTE 31 DE MARZO DE 2026 - CONTRATOS LAVADO DE VAHÍCULOS</t>
  </si>
  <si>
    <t>Índice Inicial mayo  2023</t>
  </si>
  <si>
    <t>No. Contrato</t>
  </si>
  <si>
    <t>Objeto Contractual</t>
  </si>
  <si>
    <t>Valor Contratado</t>
  </si>
  <si>
    <t xml:space="preserve">Fecha de Inicio </t>
  </si>
  <si>
    <t>Indice de Indexación</t>
  </si>
  <si>
    <t>Valor Indexado Marzo 2026</t>
  </si>
  <si>
    <t>CONSOLIDADO HISTÓRICO - SECRETARIA GENERAL DE LA ALCALDÍA MAYOR DE BOGOTÁ D. C.</t>
  </si>
  <si>
    <t>Valor Unitario
Repuestos</t>
  </si>
  <si>
    <t>Índice Inicial abril 2026</t>
  </si>
  <si>
    <t>Valor Minimo   Unitarioo Antes de IVA Aceptable</t>
  </si>
  <si>
    <t>Valor Maximo  Unitario Antes de IVA Aceptable</t>
  </si>
  <si>
    <t>VALOR TECHO UNITARIO INCLUIDO IVA</t>
  </si>
  <si>
    <t xml:space="preserve">OBSERVACIONES: 
-  Las cantidades de los servicios corresponden a un estimado de la entidad con el fin de calcular el presupuesto requerido con base en la necesidad prevista, sin embargo, estas cantidades podrán modificarse en la ejecución del contrato debido a la demanda que se genere.
- El contrato que se llegue a suscribir, se ejecutara tipo bolsa de servicio, es decir, que se consumirá a demanda de acuerdo a la necesidad identificada por la entidad y atendiendo a los precios unitarios adjudicados.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</si>
</sst>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([$$-240A]\ * #,##0_);_([$$-240A]\ * \(#,##0\);_([$$-240A]\ * &quot;-&quot;??_);_(@_)"/>
    <numFmt numFmtId="165" formatCode="[$$-240A]\ #,##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11"/>
      <color rgb="FF000000"/>
      <name val="Arial Narrow"/>
      <family val="2"/>
    </font>
    <font>
      <sz val="11"/>
      <color theme="0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8"/>
      <color rgb="FF000000"/>
      <name val="Arial"/>
      <family val="2"/>
    </font>
    <font>
      <b/>
      <sz val="12"/>
      <color theme="0"/>
      <name val="Arial Narrow"/>
      <family val="2"/>
    </font>
    <font>
      <b/>
      <sz val="10"/>
      <color theme="0"/>
      <name val="Segoe UI"/>
      <family val="2"/>
    </font>
    <font>
      <b/>
      <sz val="10"/>
      <name val="Segoe UI"/>
      <family val="2"/>
    </font>
    <font>
      <sz val="10"/>
      <name val="Segoe UI"/>
      <family val="2"/>
      <charset val="204"/>
    </font>
    <font>
      <b/>
      <sz val="10"/>
      <color rgb="FFFF0000"/>
      <name val="Segoe UI"/>
      <family val="2"/>
    </font>
    <font>
      <b/>
      <sz val="12"/>
      <name val="Arial Narrow"/>
      <family val="2"/>
    </font>
    <font>
      <b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9" fillId="0" borderId="0"/>
  </cellStyleXfs>
  <cellXfs count="203">
    <xf numFmtId="0" fontId="0" fillId="0" borderId="0" xfId="0"/>
    <xf numFmtId="0" fontId="4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7" fillId="10" borderId="6" xfId="0" applyFont="1" applyFill="1" applyBorder="1" applyAlignment="1">
      <alignment horizontal="center" vertical="center" wrapText="1"/>
    </xf>
    <xf numFmtId="0" fontId="17" fillId="10" borderId="7" xfId="0" applyFont="1" applyFill="1" applyBorder="1" applyAlignment="1">
      <alignment horizontal="center" vertical="center" wrapText="1"/>
    </xf>
    <xf numFmtId="0" fontId="18" fillId="11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3" fillId="0" borderId="30" xfId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8" fillId="11" borderId="31" xfId="0" applyFont="1" applyFill="1" applyBorder="1" applyAlignment="1">
      <alignment horizontal="center" vertical="center" wrapText="1"/>
    </xf>
    <xf numFmtId="165" fontId="0" fillId="13" borderId="9" xfId="0" applyNumberFormat="1" applyFill="1" applyBorder="1" applyAlignment="1">
      <alignment horizontal="center" vertical="center"/>
    </xf>
    <xf numFmtId="165" fontId="0" fillId="13" borderId="2" xfId="0" applyNumberFormat="1" applyFill="1" applyBorder="1" applyAlignment="1">
      <alignment horizontal="center" vertical="center"/>
    </xf>
    <xf numFmtId="165" fontId="13" fillId="5" borderId="9" xfId="3" applyNumberFormat="1" applyFont="1" applyFill="1" applyBorder="1" applyAlignment="1">
      <alignment horizontal="center" vertical="center"/>
    </xf>
    <xf numFmtId="165" fontId="13" fillId="5" borderId="2" xfId="4" applyNumberFormat="1" applyFont="1" applyFill="1" applyBorder="1" applyAlignment="1">
      <alignment horizontal="center" vertical="center" wrapText="1"/>
    </xf>
    <xf numFmtId="165" fontId="13" fillId="5" borderId="10" xfId="3" applyNumberFormat="1" applyFont="1" applyFill="1" applyBorder="1" applyAlignment="1">
      <alignment horizontal="center" vertical="center"/>
    </xf>
    <xf numFmtId="165" fontId="13" fillId="6" borderId="9" xfId="3" applyNumberFormat="1" applyFont="1" applyFill="1" applyBorder="1" applyAlignment="1">
      <alignment horizontal="center" vertical="center" wrapText="1"/>
    </xf>
    <xf numFmtId="165" fontId="13" fillId="6" borderId="2" xfId="4" applyNumberFormat="1" applyFont="1" applyFill="1" applyBorder="1" applyAlignment="1">
      <alignment horizontal="center" vertical="center" wrapText="1"/>
    </xf>
    <xf numFmtId="165" fontId="13" fillId="6" borderId="10" xfId="3" applyNumberFormat="1" applyFont="1" applyFill="1" applyBorder="1" applyAlignment="1">
      <alignment horizontal="center" vertical="center"/>
    </xf>
    <xf numFmtId="165" fontId="13" fillId="7" borderId="9" xfId="3" applyNumberFormat="1" applyFont="1" applyFill="1" applyBorder="1" applyAlignment="1">
      <alignment horizontal="center" vertical="center"/>
    </xf>
    <xf numFmtId="165" fontId="13" fillId="7" borderId="2" xfId="4" applyNumberFormat="1" applyFont="1" applyFill="1" applyBorder="1" applyAlignment="1">
      <alignment horizontal="center" vertical="center" wrapText="1"/>
    </xf>
    <xf numFmtId="165" fontId="13" fillId="7" borderId="10" xfId="3" applyNumberFormat="1" applyFont="1" applyFill="1" applyBorder="1" applyAlignment="1">
      <alignment horizontal="center" vertical="center"/>
    </xf>
    <xf numFmtId="165" fontId="13" fillId="5" borderId="11" xfId="3" applyNumberFormat="1" applyFont="1" applyFill="1" applyBorder="1" applyAlignment="1">
      <alignment horizontal="center" vertical="center"/>
    </xf>
    <xf numFmtId="165" fontId="13" fillId="5" borderId="1" xfId="4" applyNumberFormat="1" applyFont="1" applyFill="1" applyBorder="1" applyAlignment="1">
      <alignment horizontal="center" vertical="center" wrapText="1"/>
    </xf>
    <xf numFmtId="165" fontId="13" fillId="5" borderId="12" xfId="3" applyNumberFormat="1" applyFont="1" applyFill="1" applyBorder="1" applyAlignment="1">
      <alignment horizontal="center" vertical="center"/>
    </xf>
    <xf numFmtId="165" fontId="13" fillId="6" borderId="11" xfId="3" applyNumberFormat="1" applyFont="1" applyFill="1" applyBorder="1" applyAlignment="1">
      <alignment horizontal="center" vertical="center" wrapText="1"/>
    </xf>
    <xf numFmtId="165" fontId="13" fillId="6" borderId="1" xfId="4" applyNumberFormat="1" applyFont="1" applyFill="1" applyBorder="1" applyAlignment="1">
      <alignment horizontal="center" vertical="center" wrapText="1"/>
    </xf>
    <xf numFmtId="165" fontId="13" fillId="6" borderId="12" xfId="3" applyNumberFormat="1" applyFont="1" applyFill="1" applyBorder="1" applyAlignment="1">
      <alignment horizontal="center" vertical="center"/>
    </xf>
    <xf numFmtId="165" fontId="13" fillId="7" borderId="11" xfId="3" applyNumberFormat="1" applyFont="1" applyFill="1" applyBorder="1" applyAlignment="1">
      <alignment horizontal="center" vertical="center"/>
    </xf>
    <xf numFmtId="165" fontId="13" fillId="7" borderId="1" xfId="4" applyNumberFormat="1" applyFont="1" applyFill="1" applyBorder="1" applyAlignment="1">
      <alignment horizontal="center" vertical="center" wrapText="1"/>
    </xf>
    <xf numFmtId="165" fontId="13" fillId="7" borderId="12" xfId="3" applyNumberFormat="1" applyFont="1" applyFill="1" applyBorder="1" applyAlignment="1">
      <alignment horizontal="center" vertical="center"/>
    </xf>
    <xf numFmtId="165" fontId="13" fillId="5" borderId="13" xfId="3" applyNumberFormat="1" applyFont="1" applyFill="1" applyBorder="1" applyAlignment="1">
      <alignment horizontal="center" vertical="center"/>
    </xf>
    <xf numFmtId="165" fontId="13" fillId="5" borderId="14" xfId="4" applyNumberFormat="1" applyFont="1" applyFill="1" applyBorder="1" applyAlignment="1">
      <alignment horizontal="center" vertical="center" wrapText="1"/>
    </xf>
    <xf numFmtId="165" fontId="13" fillId="5" borderId="15" xfId="3" applyNumberFormat="1" applyFont="1" applyFill="1" applyBorder="1" applyAlignment="1">
      <alignment horizontal="center" vertical="center"/>
    </xf>
    <xf numFmtId="165" fontId="13" fillId="6" borderId="13" xfId="3" applyNumberFormat="1" applyFont="1" applyFill="1" applyBorder="1" applyAlignment="1">
      <alignment horizontal="center" vertical="center" wrapText="1"/>
    </xf>
    <xf numFmtId="165" fontId="13" fillId="6" borderId="14" xfId="4" applyNumberFormat="1" applyFont="1" applyFill="1" applyBorder="1" applyAlignment="1">
      <alignment horizontal="center" vertical="center" wrapText="1"/>
    </xf>
    <xf numFmtId="165" fontId="13" fillId="6" borderId="15" xfId="3" applyNumberFormat="1" applyFont="1" applyFill="1" applyBorder="1" applyAlignment="1">
      <alignment horizontal="center" vertical="center"/>
    </xf>
    <xf numFmtId="165" fontId="13" fillId="7" borderId="13" xfId="3" applyNumberFormat="1" applyFont="1" applyFill="1" applyBorder="1" applyAlignment="1">
      <alignment horizontal="center" vertical="center"/>
    </xf>
    <xf numFmtId="165" fontId="13" fillId="7" borderId="14" xfId="4" applyNumberFormat="1" applyFont="1" applyFill="1" applyBorder="1" applyAlignment="1">
      <alignment horizontal="center" vertical="center" wrapText="1"/>
    </xf>
    <xf numFmtId="165" fontId="13" fillId="7" borderId="15" xfId="3" applyNumberFormat="1" applyFont="1" applyFill="1" applyBorder="1" applyAlignment="1">
      <alignment horizontal="center" vertical="center"/>
    </xf>
    <xf numFmtId="165" fontId="13" fillId="3" borderId="2" xfId="3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165" fontId="13" fillId="0" borderId="33" xfId="0" applyNumberFormat="1" applyFont="1" applyFill="1" applyBorder="1" applyAlignment="1">
      <alignment horizontal="center" vertical="center"/>
    </xf>
    <xf numFmtId="165" fontId="13" fillId="0" borderId="29" xfId="0" applyNumberFormat="1" applyFont="1" applyFill="1" applyBorder="1" applyAlignment="1">
      <alignment horizontal="center" vertical="center"/>
    </xf>
    <xf numFmtId="165" fontId="24" fillId="0" borderId="2" xfId="0" applyNumberFormat="1" applyFont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24" fillId="0" borderId="29" xfId="0" applyNumberFormat="1" applyFont="1" applyBorder="1" applyAlignment="1">
      <alignment horizontal="center" vertical="center" wrapText="1"/>
    </xf>
    <xf numFmtId="0" fontId="26" fillId="12" borderId="1" xfId="0" applyFont="1" applyFill="1" applyBorder="1" applyAlignment="1">
      <alignment vertical="center" wrapText="1"/>
    </xf>
    <xf numFmtId="0" fontId="27" fillId="0" borderId="1" xfId="0" applyFont="1" applyBorder="1" applyAlignment="1">
      <alignment horizontal="justify" vertical="center" wrapText="1"/>
    </xf>
    <xf numFmtId="165" fontId="24" fillId="0" borderId="1" xfId="0" applyNumberFormat="1" applyFont="1" applyBorder="1" applyAlignment="1">
      <alignment horizontal="justify" vertical="center" wrapText="1"/>
    </xf>
    <xf numFmtId="0" fontId="3" fillId="0" borderId="1" xfId="1" applyBorder="1" applyAlignment="1">
      <alignment horizontal="justify" vertical="center" wrapText="1"/>
    </xf>
    <xf numFmtId="0" fontId="25" fillId="0" borderId="0" xfId="0" applyFont="1" applyFill="1"/>
    <xf numFmtId="0" fontId="0" fillId="0" borderId="0" xfId="0" applyFill="1"/>
    <xf numFmtId="0" fontId="17" fillId="9" borderId="6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17" fillId="9" borderId="8" xfId="0" applyFont="1" applyFill="1" applyBorder="1" applyAlignment="1">
      <alignment horizontal="center" vertical="center" wrapText="1"/>
    </xf>
    <xf numFmtId="0" fontId="31" fillId="0" borderId="0" xfId="6" applyFont="1" applyFill="1" applyBorder="1" applyAlignment="1">
      <alignment horizontal="center" wrapText="1"/>
    </xf>
    <xf numFmtId="0" fontId="32" fillId="0" borderId="0" xfId="6" applyFont="1" applyFill="1" applyAlignment="1"/>
    <xf numFmtId="0" fontId="33" fillId="6" borderId="32" xfId="6" applyFont="1" applyFill="1" applyBorder="1" applyAlignment="1">
      <alignment horizontal="center" vertical="center" wrapText="1"/>
    </xf>
    <xf numFmtId="0" fontId="33" fillId="6" borderId="33" xfId="6" applyFont="1" applyFill="1" applyBorder="1" applyAlignment="1">
      <alignment horizontal="center" vertical="center" wrapText="1"/>
    </xf>
    <xf numFmtId="0" fontId="33" fillId="6" borderId="34" xfId="6" applyFont="1" applyFill="1" applyBorder="1" applyAlignment="1">
      <alignment horizontal="center" vertical="center" wrapText="1"/>
    </xf>
    <xf numFmtId="2" fontId="32" fillId="2" borderId="28" xfId="6" applyNumberFormat="1" applyFont="1" applyFill="1" applyBorder="1" applyAlignment="1">
      <alignment horizontal="center" vertical="center"/>
    </xf>
    <xf numFmtId="4" fontId="32" fillId="2" borderId="29" xfId="6" applyNumberFormat="1" applyFont="1" applyFill="1" applyBorder="1" applyAlignment="1">
      <alignment horizontal="center" vertical="center"/>
    </xf>
    <xf numFmtId="0" fontId="32" fillId="2" borderId="30" xfId="6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165" fontId="24" fillId="0" borderId="36" xfId="0" applyNumberFormat="1" applyFont="1" applyBorder="1" applyAlignment="1">
      <alignment horizontal="center" vertical="center" wrapText="1"/>
    </xf>
    <xf numFmtId="14" fontId="28" fillId="0" borderId="36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5" fontId="24" fillId="0" borderId="37" xfId="0" applyNumberFormat="1" applyFont="1" applyBorder="1" applyAlignment="1">
      <alignment horizontal="center" vertical="center" wrapText="1"/>
    </xf>
    <xf numFmtId="0" fontId="34" fillId="14" borderId="28" xfId="0" applyFont="1" applyFill="1" applyBorder="1" applyAlignment="1">
      <alignment horizontal="center" vertical="center" wrapText="1"/>
    </xf>
    <xf numFmtId="0" fontId="34" fillId="14" borderId="29" xfId="0" applyFont="1" applyFill="1" applyBorder="1" applyAlignment="1">
      <alignment horizontal="center" vertical="center" wrapText="1"/>
    </xf>
    <xf numFmtId="0" fontId="34" fillId="14" borderId="30" xfId="0" applyFont="1" applyFill="1" applyBorder="1" applyAlignment="1">
      <alignment horizontal="center" vertical="center" wrapText="1"/>
    </xf>
    <xf numFmtId="165" fontId="0" fillId="0" borderId="0" xfId="0" applyNumberFormat="1"/>
    <xf numFmtId="165" fontId="9" fillId="0" borderId="0" xfId="0" applyNumberFormat="1" applyFont="1" applyAlignment="1">
      <alignment vertical="center"/>
    </xf>
    <xf numFmtId="165" fontId="13" fillId="16" borderId="32" xfId="3" applyNumberFormat="1" applyFont="1" applyFill="1" applyBorder="1" applyAlignment="1">
      <alignment horizontal="center" vertical="center"/>
    </xf>
    <xf numFmtId="165" fontId="13" fillId="16" borderId="11" xfId="3" applyNumberFormat="1" applyFont="1" applyFill="1" applyBorder="1" applyAlignment="1">
      <alignment horizontal="center" vertical="center"/>
    </xf>
    <xf numFmtId="165" fontId="13" fillId="16" borderId="28" xfId="3" applyNumberFormat="1" applyFont="1" applyFill="1" applyBorder="1" applyAlignment="1">
      <alignment horizontal="center" vertical="center"/>
    </xf>
    <xf numFmtId="0" fontId="13" fillId="0" borderId="33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29" xfId="0" applyNumberFormat="1" applyFont="1" applyFill="1" applyBorder="1" applyAlignment="1">
      <alignment horizontal="center" vertical="center"/>
    </xf>
    <xf numFmtId="164" fontId="15" fillId="12" borderId="3" xfId="5" applyNumberFormat="1" applyFont="1" applyFill="1" applyBorder="1" applyAlignment="1">
      <alignment horizontal="center" vertical="center" wrapText="1"/>
    </xf>
    <xf numFmtId="164" fontId="15" fillId="12" borderId="4" xfId="5" applyNumberFormat="1" applyFont="1" applyFill="1" applyBorder="1" applyAlignment="1">
      <alignment horizontal="center" vertical="center" wrapText="1"/>
    </xf>
    <xf numFmtId="164" fontId="15" fillId="12" borderId="5" xfId="5" applyNumberFormat="1" applyFont="1" applyFill="1" applyBorder="1" applyAlignment="1">
      <alignment horizontal="center" vertical="center" wrapText="1"/>
    </xf>
    <xf numFmtId="165" fontId="13" fillId="0" borderId="34" xfId="0" applyNumberFormat="1" applyFont="1" applyFill="1" applyBorder="1" applyAlignment="1">
      <alignment horizontal="center" vertical="center"/>
    </xf>
    <xf numFmtId="165" fontId="13" fillId="0" borderId="12" xfId="0" applyNumberFormat="1" applyFont="1" applyFill="1" applyBorder="1" applyAlignment="1">
      <alignment horizontal="center" vertical="center"/>
    </xf>
    <xf numFmtId="165" fontId="13" fillId="0" borderId="30" xfId="0" applyNumberFormat="1" applyFont="1" applyFill="1" applyBorder="1" applyAlignment="1">
      <alignment horizontal="center" vertical="center"/>
    </xf>
    <xf numFmtId="165" fontId="17" fillId="9" borderId="37" xfId="0" applyNumberFormat="1" applyFont="1" applyFill="1" applyBorder="1" applyAlignment="1">
      <alignment horizontal="center" vertical="center"/>
    </xf>
    <xf numFmtId="0" fontId="23" fillId="0" borderId="1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165" fontId="17" fillId="9" borderId="23" xfId="0" applyNumberFormat="1" applyFont="1" applyFill="1" applyBorder="1" applyAlignment="1">
      <alignment horizontal="center" vertical="center"/>
    </xf>
    <xf numFmtId="165" fontId="17" fillId="9" borderId="24" xfId="0" applyNumberFormat="1" applyFont="1" applyFill="1" applyBorder="1" applyAlignment="1">
      <alignment horizontal="center" vertical="center"/>
    </xf>
    <xf numFmtId="165" fontId="17" fillId="9" borderId="38" xfId="0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 readingOrder="1"/>
    </xf>
    <xf numFmtId="0" fontId="14" fillId="5" borderId="4" xfId="0" applyFont="1" applyFill="1" applyBorder="1" applyAlignment="1">
      <alignment horizontal="center" vertical="center" wrapText="1" readingOrder="1"/>
    </xf>
    <xf numFmtId="0" fontId="14" fillId="5" borderId="5" xfId="0" applyFont="1" applyFill="1" applyBorder="1" applyAlignment="1">
      <alignment horizontal="center" vertical="center" wrapText="1" readingOrder="1"/>
    </xf>
    <xf numFmtId="0" fontId="14" fillId="6" borderId="3" xfId="0" applyFont="1" applyFill="1" applyBorder="1" applyAlignment="1">
      <alignment horizontal="center" vertical="center" wrapText="1" readingOrder="1"/>
    </xf>
    <xf numFmtId="0" fontId="14" fillId="6" borderId="4" xfId="0" applyFont="1" applyFill="1" applyBorder="1" applyAlignment="1">
      <alignment horizontal="center" vertical="center" wrapText="1" readingOrder="1"/>
    </xf>
    <xf numFmtId="0" fontId="14" fillId="6" borderId="5" xfId="0" applyFont="1" applyFill="1" applyBorder="1" applyAlignment="1">
      <alignment horizontal="center" vertical="center" wrapText="1" readingOrder="1"/>
    </xf>
    <xf numFmtId="0" fontId="14" fillId="7" borderId="3" xfId="0" applyFont="1" applyFill="1" applyBorder="1" applyAlignment="1">
      <alignment horizontal="center" vertical="center" wrapText="1" readingOrder="1"/>
    </xf>
    <xf numFmtId="0" fontId="14" fillId="7" borderId="4" xfId="0" applyFont="1" applyFill="1" applyBorder="1" applyAlignment="1">
      <alignment horizontal="center" vertical="center" wrapText="1" readingOrder="1"/>
    </xf>
    <xf numFmtId="0" fontId="14" fillId="7" borderId="5" xfId="0" applyFont="1" applyFill="1" applyBorder="1" applyAlignment="1">
      <alignment horizontal="center" vertical="center" wrapText="1" readingOrder="1"/>
    </xf>
    <xf numFmtId="0" fontId="15" fillId="8" borderId="3" xfId="0" applyFont="1" applyFill="1" applyBorder="1" applyAlignment="1">
      <alignment horizontal="center" vertical="center" wrapText="1" readingOrder="1"/>
    </xf>
    <xf numFmtId="0" fontId="15" fillId="8" borderId="4" xfId="0" applyFont="1" applyFill="1" applyBorder="1" applyAlignment="1">
      <alignment horizontal="center" vertical="center" wrapText="1" readingOrder="1"/>
    </xf>
    <xf numFmtId="0" fontId="15" fillId="8" borderId="5" xfId="0" applyFont="1" applyFill="1" applyBorder="1" applyAlignment="1">
      <alignment horizontal="center" vertical="center" wrapText="1" readingOrder="1"/>
    </xf>
    <xf numFmtId="0" fontId="15" fillId="9" borderId="3" xfId="5" applyFont="1" applyFill="1" applyBorder="1" applyAlignment="1">
      <alignment horizontal="center" vertical="center" wrapText="1"/>
    </xf>
    <xf numFmtId="0" fontId="15" fillId="9" borderId="27" xfId="5" applyFont="1" applyFill="1" applyBorder="1" applyAlignment="1">
      <alignment horizontal="center" vertical="center" wrapText="1"/>
    </xf>
    <xf numFmtId="0" fontId="15" fillId="9" borderId="4" xfId="5" applyFont="1" applyFill="1" applyBorder="1" applyAlignment="1">
      <alignment horizontal="center" vertical="center" wrapText="1"/>
    </xf>
    <xf numFmtId="0" fontId="15" fillId="9" borderId="5" xfId="5" applyFont="1" applyFill="1" applyBorder="1" applyAlignment="1">
      <alignment horizontal="center" vertical="center" wrapText="1"/>
    </xf>
    <xf numFmtId="0" fontId="30" fillId="15" borderId="16" xfId="6" applyFont="1" applyFill="1" applyBorder="1" applyAlignment="1">
      <alignment horizontal="center" wrapText="1"/>
    </xf>
    <xf numFmtId="0" fontId="30" fillId="15" borderId="17" xfId="6" applyFont="1" applyFill="1" applyBorder="1" applyAlignment="1">
      <alignment horizontal="center" wrapText="1"/>
    </xf>
    <xf numFmtId="0" fontId="30" fillId="15" borderId="26" xfId="6" applyFont="1" applyFill="1" applyBorder="1" applyAlignment="1">
      <alignment horizontal="center" wrapText="1"/>
    </xf>
    <xf numFmtId="0" fontId="35" fillId="12" borderId="32" xfId="0" applyFont="1" applyFill="1" applyBorder="1" applyAlignment="1">
      <alignment horizontal="center" vertical="center"/>
    </xf>
    <xf numFmtId="0" fontId="35" fillId="12" borderId="33" xfId="0" applyFont="1" applyFill="1" applyBorder="1" applyAlignment="1">
      <alignment horizontal="center" vertical="center"/>
    </xf>
    <xf numFmtId="0" fontId="35" fillId="12" borderId="34" xfId="0" applyFont="1" applyFill="1" applyBorder="1" applyAlignment="1">
      <alignment horizontal="center" vertical="center"/>
    </xf>
    <xf numFmtId="0" fontId="29" fillId="14" borderId="1" xfId="0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 wrapText="1"/>
    </xf>
    <xf numFmtId="165" fontId="13" fillId="6" borderId="33" xfId="0" applyNumberFormat="1" applyFont="1" applyFill="1" applyBorder="1" applyAlignment="1">
      <alignment horizontal="center" vertical="center"/>
    </xf>
    <xf numFmtId="165" fontId="13" fillId="6" borderId="1" xfId="0" applyNumberFormat="1" applyFont="1" applyFill="1" applyBorder="1" applyAlignment="1">
      <alignment horizontal="center" vertical="center"/>
    </xf>
    <xf numFmtId="165" fontId="13" fillId="6" borderId="29" xfId="0" applyNumberFormat="1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165" fontId="0" fillId="13" borderId="32" xfId="0" applyNumberFormat="1" applyFill="1" applyBorder="1" applyAlignment="1">
      <alignment horizontal="center" vertical="center"/>
    </xf>
    <xf numFmtId="165" fontId="0" fillId="13" borderId="33" xfId="0" applyNumberFormat="1" applyFill="1" applyBorder="1" applyAlignment="1">
      <alignment horizontal="center" vertical="center"/>
    </xf>
    <xf numFmtId="165" fontId="13" fillId="3" borderId="33" xfId="3" applyNumberFormat="1" applyFont="1" applyFill="1" applyBorder="1" applyAlignment="1">
      <alignment horizontal="center" vertical="center"/>
    </xf>
    <xf numFmtId="165" fontId="13" fillId="3" borderId="34" xfId="3" applyNumberFormat="1" applyFont="1" applyFill="1" applyBorder="1" applyAlignment="1">
      <alignment horizontal="center" vertical="center"/>
    </xf>
    <xf numFmtId="165" fontId="13" fillId="3" borderId="10" xfId="3" applyNumberFormat="1" applyFont="1" applyFill="1" applyBorder="1" applyAlignment="1">
      <alignment horizontal="center" vertical="center"/>
    </xf>
    <xf numFmtId="165" fontId="0" fillId="13" borderId="3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13" fillId="3" borderId="36" xfId="3" applyNumberFormat="1" applyFont="1" applyFill="1" applyBorder="1" applyAlignment="1">
      <alignment horizontal="center" vertical="center"/>
    </xf>
    <xf numFmtId="165" fontId="13" fillId="3" borderId="37" xfId="3" applyNumberFormat="1" applyFont="1" applyFill="1" applyBorder="1" applyAlignment="1">
      <alignment horizontal="center" vertical="center"/>
    </xf>
  </cellXfs>
  <cellStyles count="7">
    <cellStyle name="Hipervínculo" xfId="1" builtinId="8"/>
    <cellStyle name="Moneda" xfId="3" builtinId="4"/>
    <cellStyle name="Normal" xfId="0" builtinId="0"/>
    <cellStyle name="Normal 28" xfId="2"/>
    <cellStyle name="Normal 3" xfId="6"/>
    <cellStyle name="Normal 5" xfId="5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33108</xdr:colOff>
      <xdr:row>1</xdr:row>
      <xdr:rowOff>97286</xdr:rowOff>
    </xdr:from>
    <xdr:ext cx="945370" cy="616000"/>
    <xdr:pic>
      <xdr:nvPicPr>
        <xdr:cNvPr id="3" name="Imagen 2">
          <a:extLst>
            <a:ext uri="{FF2B5EF4-FFF2-40B4-BE49-F238E27FC236}">
              <a16:creationId xmlns:a16="http://schemas.microsoft.com/office/drawing/2014/main" id="{6B4C85D8-394B-4A7F-94F7-F09A2CAE2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608" y="253150"/>
          <a:ext cx="945370" cy="616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446233</xdr:colOff>
      <xdr:row>22</xdr:row>
      <xdr:rowOff>85190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33333" cy="42761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AppData/Local/Microsoft/Windows/Temporary%20Internet%20Files/Content.Outlook/E4EMGSL4/EQUIPOS%20DE%20METROLOGIA/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EQUIPOS%20DE%20METROLOGIA\EQUIPOS%20METROLOGIA%20-%20SDI%200207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irecci&#243;n%20de%20Abastecimiento\Equipo%20de%20Estudios%20de%20Sector%20y%20Costos\6.%20ESTUDIOS%20DEFINITIVOS\2014\DIR%20DE%20GESTION%20HUMANA\EXAMENES%20MEDICOS%20OCUPACIONALES\EXAMENES%20MEDICOS-%20140213%20-CC2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DEVUELTOS\EQUIPOS%20DE%20METROLOGIA\SDI\EQUIPOS%20METROLOGIA%20-%20SDI%200207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>
        <row r="20">
          <cell r="D20">
            <v>0.1</v>
          </cell>
        </row>
      </sheetData>
      <sheetData sheetId="1">
        <row r="10">
          <cell r="D10">
            <v>30</v>
          </cell>
        </row>
      </sheetData>
      <sheetData sheetId="2"/>
      <sheetData sheetId="3"/>
      <sheetData sheetId="4"/>
      <sheetData sheetId="5">
        <row r="24">
          <cell r="B24" t="str">
            <v>INVERSIONES</v>
          </cell>
        </row>
      </sheetData>
      <sheetData sheetId="6">
        <row r="314">
          <cell r="C314" t="str">
            <v>Centro de cómputo</v>
          </cell>
        </row>
      </sheetData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ommunity.secop.gov.co/Public/Tendering/OpportunityDetail/Index?noticeUID=CO1.NTC.4414695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8"/>
  <sheetViews>
    <sheetView showGridLines="0" tabSelected="1" zoomScale="85" zoomScaleNormal="85" workbookViewId="0">
      <selection activeCell="S13" sqref="S13"/>
    </sheetView>
  </sheetViews>
  <sheetFormatPr baseColWidth="10" defaultColWidth="11.42578125" defaultRowHeight="12" x14ac:dyDescent="0.25"/>
  <cols>
    <col min="1" max="1" width="2.85546875" style="2" customWidth="1"/>
    <col min="2" max="2" width="10.85546875" style="2" customWidth="1"/>
    <col min="3" max="3" width="51.5703125" style="2" customWidth="1"/>
    <col min="4" max="4" width="15.5703125" style="2" customWidth="1"/>
    <col min="5" max="5" width="11.42578125" style="2"/>
    <col min="6" max="6" width="13.7109375" style="2" hidden="1" customWidth="1"/>
    <col min="7" max="7" width="12.7109375" style="2" hidden="1" customWidth="1"/>
    <col min="8" max="9" width="13.7109375" style="2" hidden="1" customWidth="1"/>
    <col min="10" max="10" width="12.7109375" style="2" hidden="1" customWidth="1"/>
    <col min="11" max="12" width="13.7109375" style="2" hidden="1" customWidth="1"/>
    <col min="13" max="13" width="12.7109375" style="2" hidden="1" customWidth="1"/>
    <col min="14" max="14" width="13.7109375" style="2" hidden="1" customWidth="1"/>
    <col min="15" max="18" width="16.7109375" style="2" customWidth="1"/>
    <col min="19" max="19" width="21" style="2" customWidth="1"/>
    <col min="20" max="20" width="20.42578125" style="2" customWidth="1"/>
    <col min="21" max="21" width="20.140625" style="2" customWidth="1"/>
    <col min="22" max="22" width="12.5703125" style="2" customWidth="1"/>
    <col min="23" max="23" width="12.28515625" style="2" customWidth="1"/>
    <col min="24" max="24" width="11.42578125" style="2" customWidth="1"/>
    <col min="25" max="25" width="15.28515625" style="2" customWidth="1"/>
    <col min="26" max="26" width="13.7109375" style="2" customWidth="1"/>
    <col min="27" max="27" width="15" style="2" customWidth="1"/>
    <col min="28" max="28" width="2.5703125" style="2" customWidth="1"/>
    <col min="29" max="16384" width="11.42578125" style="2"/>
  </cols>
  <sheetData>
    <row r="1" spans="2:28" ht="12.75" thickBot="1" x14ac:dyDescent="0.3"/>
    <row r="2" spans="2:28" s="1" customFormat="1" ht="12" customHeight="1" x14ac:dyDescent="0.25">
      <c r="B2" s="155" t="s">
        <v>38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7"/>
    </row>
    <row r="3" spans="2:28" s="1" customFormat="1" x14ac:dyDescent="0.25">
      <c r="B3" s="158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60"/>
    </row>
    <row r="4" spans="2:28" s="1" customFormat="1" ht="42" customHeight="1" thickBot="1" x14ac:dyDescent="0.3">
      <c r="B4" s="161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3"/>
    </row>
    <row r="5" spans="2:28" s="1" customFormat="1" ht="36" customHeight="1" thickBot="1" x14ac:dyDescent="0.3">
      <c r="B5" s="127" t="s">
        <v>39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9"/>
    </row>
    <row r="6" spans="2:28" s="1" customFormat="1" ht="24.75" customHeight="1" thickBot="1" x14ac:dyDescent="0.3">
      <c r="B6" s="130" t="s">
        <v>40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</row>
    <row r="7" spans="2:28" s="1" customFormat="1" ht="24" customHeight="1" thickBot="1" x14ac:dyDescent="0.3">
      <c r="B7" s="133" t="s">
        <v>41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5"/>
    </row>
    <row r="8" spans="2:28" s="1" customFormat="1" ht="21.75" customHeight="1" thickBot="1" x14ac:dyDescent="0.3">
      <c r="B8" s="136" t="s">
        <v>42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8"/>
    </row>
    <row r="9" spans="2:28" s="1" customFormat="1" ht="10.5" customHeight="1" thickBot="1" x14ac:dyDescent="0.3">
      <c r="B9" s="2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27"/>
      <c r="V9" s="27"/>
      <c r="W9" s="27"/>
      <c r="X9" s="27"/>
      <c r="Y9" s="27"/>
      <c r="Z9" s="27"/>
      <c r="AA9" s="27"/>
      <c r="AB9" s="28"/>
    </row>
    <row r="10" spans="2:28" s="1" customFormat="1" ht="27" customHeight="1" thickBot="1" x14ac:dyDescent="0.3">
      <c r="B10" s="145" t="s">
        <v>43</v>
      </c>
      <c r="C10" s="146"/>
      <c r="D10" s="18" t="s">
        <v>44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27"/>
      <c r="V10" s="27"/>
      <c r="W10" s="27"/>
      <c r="X10" s="27"/>
      <c r="Y10" s="27"/>
      <c r="Z10" s="27"/>
      <c r="AA10" s="27"/>
      <c r="AB10" s="28"/>
    </row>
    <row r="11" spans="2:28" s="1" customFormat="1" ht="27" customHeight="1" x14ac:dyDescent="0.25">
      <c r="B11" s="147" t="s">
        <v>45</v>
      </c>
      <c r="C11" s="148"/>
      <c r="D11" s="19">
        <v>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27"/>
      <c r="V11" s="27"/>
      <c r="W11" s="27"/>
      <c r="X11" s="27"/>
      <c r="Y11" s="27"/>
      <c r="Z11" s="27"/>
      <c r="AA11" s="27"/>
      <c r="AB11" s="28"/>
    </row>
    <row r="12" spans="2:28" s="1" customFormat="1" ht="21.75" customHeight="1" thickBot="1" x14ac:dyDescent="0.3">
      <c r="B12" s="149" t="s">
        <v>46</v>
      </c>
      <c r="C12" s="150"/>
      <c r="D12" s="20">
        <v>2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27"/>
      <c r="V12" s="27"/>
      <c r="W12" s="27"/>
      <c r="X12" s="27"/>
      <c r="Y12" s="27"/>
      <c r="Z12" s="27"/>
      <c r="AA12" s="27"/>
      <c r="AB12" s="28"/>
    </row>
    <row r="13" spans="2:28" s="1" customFormat="1" ht="21.75" customHeight="1" thickBot="1" x14ac:dyDescent="0.3">
      <c r="B13" s="151" t="s">
        <v>47</v>
      </c>
      <c r="C13" s="152"/>
      <c r="D13" s="18">
        <v>3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27"/>
      <c r="V13" s="27"/>
      <c r="W13" s="27"/>
      <c r="X13" s="27"/>
      <c r="Y13" s="27"/>
      <c r="Z13" s="27"/>
      <c r="AA13" s="27"/>
      <c r="AB13" s="28"/>
    </row>
    <row r="14" spans="2:28" s="1" customFormat="1" ht="21.75" customHeight="1" thickBot="1" x14ac:dyDescent="0.3">
      <c r="B14" s="21"/>
      <c r="C14" s="22"/>
      <c r="D14" s="23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27"/>
      <c r="V14" s="27"/>
      <c r="W14" s="27"/>
      <c r="X14" s="27"/>
      <c r="Y14" s="27"/>
      <c r="Z14" s="27"/>
      <c r="AA14" s="27"/>
      <c r="AB14" s="28"/>
    </row>
    <row r="15" spans="2:28" s="1" customFormat="1" ht="21.75" customHeight="1" thickBot="1" x14ac:dyDescent="0.3">
      <c r="B15" s="139" t="s">
        <v>48</v>
      </c>
      <c r="C15" s="140"/>
      <c r="D15" s="14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9"/>
    </row>
    <row r="16" spans="2:28" s="1" customFormat="1" ht="21.75" customHeight="1" thickBot="1" x14ac:dyDescent="0.3">
      <c r="B16" s="2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27"/>
      <c r="V16" s="27"/>
      <c r="W16" s="27"/>
      <c r="X16" s="27"/>
      <c r="Y16" s="27"/>
      <c r="Z16" s="27"/>
      <c r="AA16" s="27"/>
      <c r="AB16" s="28"/>
    </row>
    <row r="17" spans="2:29" s="1" customFormat="1" ht="33" customHeight="1" thickBot="1" x14ac:dyDescent="0.3">
      <c r="B17" s="153" t="s">
        <v>49</v>
      </c>
      <c r="C17" s="154"/>
      <c r="D17" s="154"/>
      <c r="E17" s="154"/>
      <c r="F17" s="164" t="s">
        <v>21</v>
      </c>
      <c r="G17" s="165"/>
      <c r="H17" s="166"/>
      <c r="I17" s="167" t="s">
        <v>22</v>
      </c>
      <c r="J17" s="168"/>
      <c r="K17" s="169"/>
      <c r="L17" s="170" t="s">
        <v>23</v>
      </c>
      <c r="M17" s="171"/>
      <c r="N17" s="172"/>
      <c r="O17" s="173" t="s">
        <v>24</v>
      </c>
      <c r="P17" s="174"/>
      <c r="Q17" s="174"/>
      <c r="R17" s="174"/>
      <c r="S17" s="174"/>
      <c r="T17" s="174"/>
      <c r="U17" s="175"/>
      <c r="V17" s="176" t="s">
        <v>25</v>
      </c>
      <c r="W17" s="177"/>
      <c r="X17" s="178"/>
      <c r="Y17" s="178"/>
      <c r="Z17" s="178"/>
      <c r="AA17" s="179"/>
      <c r="AB17" s="28"/>
    </row>
    <row r="18" spans="2:29" ht="72" customHeight="1" thickBot="1" x14ac:dyDescent="0.3">
      <c r="B18" s="30" t="s">
        <v>0</v>
      </c>
      <c r="C18" s="25" t="s">
        <v>1</v>
      </c>
      <c r="D18" s="25" t="s">
        <v>2</v>
      </c>
      <c r="E18" s="25" t="s">
        <v>3</v>
      </c>
      <c r="F18" s="5" t="s">
        <v>103</v>
      </c>
      <c r="G18" s="6" t="s">
        <v>26</v>
      </c>
      <c r="H18" s="7" t="s">
        <v>27</v>
      </c>
      <c r="I18" s="8" t="s">
        <v>103</v>
      </c>
      <c r="J18" s="9" t="s">
        <v>28</v>
      </c>
      <c r="K18" s="10" t="s">
        <v>27</v>
      </c>
      <c r="L18" s="11" t="s">
        <v>103</v>
      </c>
      <c r="M18" s="12" t="s">
        <v>28</v>
      </c>
      <c r="N18" s="13" t="s">
        <v>27</v>
      </c>
      <c r="O18" s="14" t="s">
        <v>29</v>
      </c>
      <c r="P18" s="15" t="s">
        <v>30</v>
      </c>
      <c r="Q18" s="15" t="s">
        <v>105</v>
      </c>
      <c r="R18" s="15" t="s">
        <v>106</v>
      </c>
      <c r="S18" s="16" t="s">
        <v>31</v>
      </c>
      <c r="T18" s="16" t="s">
        <v>32</v>
      </c>
      <c r="U18" s="46" t="s">
        <v>33</v>
      </c>
      <c r="V18" s="117" t="s">
        <v>29</v>
      </c>
      <c r="W18" s="118" t="s">
        <v>74</v>
      </c>
      <c r="X18" s="118" t="s">
        <v>34</v>
      </c>
      <c r="Y18" s="118" t="s">
        <v>107</v>
      </c>
      <c r="Z18" s="118" t="s">
        <v>35</v>
      </c>
      <c r="AA18" s="119" t="s">
        <v>36</v>
      </c>
      <c r="AB18" s="31"/>
    </row>
    <row r="19" spans="2:29" ht="30" customHeight="1" x14ac:dyDescent="0.25">
      <c r="B19" s="44">
        <v>1</v>
      </c>
      <c r="C19" s="45" t="s">
        <v>13</v>
      </c>
      <c r="D19" s="3">
        <v>1</v>
      </c>
      <c r="E19" s="4" t="s">
        <v>4</v>
      </c>
      <c r="F19" s="49">
        <v>32000</v>
      </c>
      <c r="G19" s="50">
        <v>0.19</v>
      </c>
      <c r="H19" s="51">
        <v>38080</v>
      </c>
      <c r="I19" s="52">
        <v>30000</v>
      </c>
      <c r="J19" s="53">
        <v>0.19</v>
      </c>
      <c r="K19" s="54">
        <v>35700</v>
      </c>
      <c r="L19" s="55">
        <v>24000</v>
      </c>
      <c r="M19" s="56">
        <v>0.19</v>
      </c>
      <c r="N19" s="57">
        <v>28560</v>
      </c>
      <c r="O19" s="194">
        <f>EVEN(AVERAGE(F19,L19,I19))</f>
        <v>28668</v>
      </c>
      <c r="P19" s="195">
        <f>EVEN(_xlfn.STDEV.S(F19,I19,L19))</f>
        <v>4164</v>
      </c>
      <c r="Q19" s="195">
        <f>+O19-P19</f>
        <v>24504</v>
      </c>
      <c r="R19" s="195">
        <f>+O19+P19</f>
        <v>32832</v>
      </c>
      <c r="S19" s="196">
        <f>IF(AND(F19&gt;$Q19,F19&lt;$R19),F19,"Por fuera del Túnel")</f>
        <v>32000</v>
      </c>
      <c r="T19" s="196">
        <f>IF(AND(I19&gt;$Q19,I19&lt;$R19),I19,"Por fuera del Túnel")</f>
        <v>30000</v>
      </c>
      <c r="U19" s="197" t="str">
        <f>IF(AND(L19&gt;$Q19,L19&lt;$R19),L19,"Por fuera del Túnel")</f>
        <v>Por fuera del Túnel</v>
      </c>
      <c r="V19" s="111">
        <f>ROUND(IF(AVERAGE(S19:U19)&lt;O19,AVERAGE(S19:U19),O19),0)</f>
        <v>28668</v>
      </c>
      <c r="W19" s="78">
        <f>+T19</f>
        <v>30000</v>
      </c>
      <c r="X19" s="78">
        <f>EVEN(V19*19%)</f>
        <v>5448</v>
      </c>
      <c r="Y19" s="188">
        <f>+V19+X19</f>
        <v>34116</v>
      </c>
      <c r="Z19" s="114">
        <v>8</v>
      </c>
      <c r="AA19" s="120">
        <f>+Y19*Z19</f>
        <v>272928</v>
      </c>
      <c r="AB19" s="31"/>
      <c r="AC19" s="110"/>
    </row>
    <row r="20" spans="2:29" ht="30" customHeight="1" x14ac:dyDescent="0.25">
      <c r="B20" s="44">
        <v>2</v>
      </c>
      <c r="C20" s="45" t="s">
        <v>14</v>
      </c>
      <c r="D20" s="3">
        <v>1</v>
      </c>
      <c r="E20" s="4" t="s">
        <v>4</v>
      </c>
      <c r="F20" s="58">
        <v>32000</v>
      </c>
      <c r="G20" s="59">
        <v>0.19</v>
      </c>
      <c r="H20" s="60">
        <v>38080</v>
      </c>
      <c r="I20" s="61">
        <v>45000</v>
      </c>
      <c r="J20" s="62">
        <v>0.19</v>
      </c>
      <c r="K20" s="63">
        <v>53550</v>
      </c>
      <c r="L20" s="64">
        <v>30000</v>
      </c>
      <c r="M20" s="65">
        <v>0.19</v>
      </c>
      <c r="N20" s="66">
        <v>35700</v>
      </c>
      <c r="O20" s="47">
        <f t="shared" ref="O20:O34" si="0">EVEN(AVERAGE(F20,L20,I20))</f>
        <v>35668</v>
      </c>
      <c r="P20" s="48">
        <f t="shared" ref="P20:P34" si="1">EVEN(_xlfn.STDEV.S(F20,I20,L20))</f>
        <v>8146</v>
      </c>
      <c r="Q20" s="48">
        <f t="shared" ref="Q20:Q34" si="2">+O20-P20</f>
        <v>27522</v>
      </c>
      <c r="R20" s="48">
        <f t="shared" ref="R20:R34" si="3">+O20+P20</f>
        <v>43814</v>
      </c>
      <c r="S20" s="76">
        <f t="shared" ref="S20:S34" si="4">IF(AND(F20&gt;$Q20,F20&lt;$R20),F20,"Por fuera del Túnel")</f>
        <v>32000</v>
      </c>
      <c r="T20" s="76" t="str">
        <f t="shared" ref="T20:T34" si="5">IF(AND(I20&gt;$Q20,I20&lt;$R20),I20,"Por fuera del Túnel")</f>
        <v>Por fuera del Túnel</v>
      </c>
      <c r="U20" s="198">
        <f t="shared" ref="U20:U34" si="6">IF(AND(L20&gt;$Q20,L20&lt;$R20),L20,"Por fuera del Túnel")</f>
        <v>30000</v>
      </c>
      <c r="V20" s="112">
        <f t="shared" ref="V20:V34" si="7">ROUND(IF(AVERAGE(S20:U20)&lt;O20,AVERAGE(S20:U20),O20),0)</f>
        <v>31000</v>
      </c>
      <c r="W20" s="77">
        <f>+U20</f>
        <v>30000</v>
      </c>
      <c r="X20" s="77">
        <f>EVEN(V20*19%)</f>
        <v>5890</v>
      </c>
      <c r="Y20" s="189">
        <f t="shared" ref="Y20:Y34" si="8">+V20+X20</f>
        <v>36890</v>
      </c>
      <c r="Z20" s="115">
        <v>2</v>
      </c>
      <c r="AA20" s="121">
        <f t="shared" ref="AA20:AA34" si="9">+Y20*Z20</f>
        <v>73780</v>
      </c>
      <c r="AB20" s="31"/>
      <c r="AC20" s="110"/>
    </row>
    <row r="21" spans="2:29" ht="30" customHeight="1" x14ac:dyDescent="0.25">
      <c r="B21" s="44">
        <v>3</v>
      </c>
      <c r="C21" s="45" t="s">
        <v>15</v>
      </c>
      <c r="D21" s="3">
        <v>1</v>
      </c>
      <c r="E21" s="4" t="s">
        <v>4</v>
      </c>
      <c r="F21" s="58">
        <v>38000</v>
      </c>
      <c r="G21" s="59">
        <v>0.19</v>
      </c>
      <c r="H21" s="60">
        <v>45220</v>
      </c>
      <c r="I21" s="61">
        <v>40000</v>
      </c>
      <c r="J21" s="62">
        <v>0.19</v>
      </c>
      <c r="K21" s="63">
        <v>47600</v>
      </c>
      <c r="L21" s="64">
        <v>30000</v>
      </c>
      <c r="M21" s="65">
        <v>0.19</v>
      </c>
      <c r="N21" s="66">
        <v>35700</v>
      </c>
      <c r="O21" s="47">
        <f t="shared" si="0"/>
        <v>36000</v>
      </c>
      <c r="P21" s="48">
        <f t="shared" si="1"/>
        <v>5292</v>
      </c>
      <c r="Q21" s="48">
        <f t="shared" si="2"/>
        <v>30708</v>
      </c>
      <c r="R21" s="48">
        <f t="shared" si="3"/>
        <v>41292</v>
      </c>
      <c r="S21" s="76">
        <f t="shared" si="4"/>
        <v>38000</v>
      </c>
      <c r="T21" s="76">
        <f t="shared" si="5"/>
        <v>40000</v>
      </c>
      <c r="U21" s="198" t="str">
        <f t="shared" si="6"/>
        <v>Por fuera del Túnel</v>
      </c>
      <c r="V21" s="112">
        <f>ROUND(IF(AVERAGE(S21:U21)&lt;O21,AVERAGE(S21:U21),O21),0)</f>
        <v>36000</v>
      </c>
      <c r="W21" s="77">
        <f>+S21</f>
        <v>38000</v>
      </c>
      <c r="X21" s="77">
        <f t="shared" ref="X21:X33" si="10">EVEN(V21*19%)</f>
        <v>6840</v>
      </c>
      <c r="Y21" s="189">
        <f t="shared" si="8"/>
        <v>42840</v>
      </c>
      <c r="Z21" s="115">
        <v>8</v>
      </c>
      <c r="AA21" s="121">
        <f>+Y21*Z21</f>
        <v>342720</v>
      </c>
      <c r="AB21" s="31"/>
      <c r="AC21" s="110"/>
    </row>
    <row r="22" spans="2:29" ht="30" customHeight="1" x14ac:dyDescent="0.25">
      <c r="B22" s="44">
        <v>4</v>
      </c>
      <c r="C22" s="45" t="s">
        <v>16</v>
      </c>
      <c r="D22" s="3">
        <v>1</v>
      </c>
      <c r="E22" s="4" t="s">
        <v>4</v>
      </c>
      <c r="F22" s="58">
        <v>38000</v>
      </c>
      <c r="G22" s="59">
        <v>0.19</v>
      </c>
      <c r="H22" s="60">
        <v>45220</v>
      </c>
      <c r="I22" s="61">
        <v>60000</v>
      </c>
      <c r="J22" s="62">
        <v>0.19</v>
      </c>
      <c r="K22" s="63">
        <v>71400</v>
      </c>
      <c r="L22" s="64">
        <v>35000</v>
      </c>
      <c r="M22" s="65">
        <v>0.19</v>
      </c>
      <c r="N22" s="66">
        <v>41650</v>
      </c>
      <c r="O22" s="47">
        <f t="shared" si="0"/>
        <v>44334</v>
      </c>
      <c r="P22" s="48">
        <f t="shared" si="1"/>
        <v>13652</v>
      </c>
      <c r="Q22" s="48">
        <f t="shared" si="2"/>
        <v>30682</v>
      </c>
      <c r="R22" s="48">
        <f t="shared" si="3"/>
        <v>57986</v>
      </c>
      <c r="S22" s="76">
        <f t="shared" si="4"/>
        <v>38000</v>
      </c>
      <c r="T22" s="76" t="str">
        <f t="shared" si="5"/>
        <v>Por fuera del Túnel</v>
      </c>
      <c r="U22" s="198">
        <f t="shared" si="6"/>
        <v>35000</v>
      </c>
      <c r="V22" s="112">
        <f t="shared" ref="V22" si="11">ROUND(IF(AVERAGE(S22:U22)&lt;O22,AVERAGE(S22:U22),O22),0)</f>
        <v>36500</v>
      </c>
      <c r="W22" s="77">
        <f>+U22</f>
        <v>35000</v>
      </c>
      <c r="X22" s="77">
        <f t="shared" si="10"/>
        <v>6936</v>
      </c>
      <c r="Y22" s="189">
        <f t="shared" si="8"/>
        <v>43436</v>
      </c>
      <c r="Z22" s="115">
        <v>2</v>
      </c>
      <c r="AA22" s="121">
        <f t="shared" ref="AA22" si="12">+Y22*Z22</f>
        <v>86872</v>
      </c>
      <c r="AB22" s="31"/>
      <c r="AC22" s="110"/>
    </row>
    <row r="23" spans="2:29" ht="30" customHeight="1" x14ac:dyDescent="0.25">
      <c r="B23" s="44">
        <v>5</v>
      </c>
      <c r="C23" s="45" t="s">
        <v>5</v>
      </c>
      <c r="D23" s="3">
        <v>1</v>
      </c>
      <c r="E23" s="4" t="s">
        <v>4</v>
      </c>
      <c r="F23" s="58">
        <v>48000</v>
      </c>
      <c r="G23" s="59">
        <v>0.19</v>
      </c>
      <c r="H23" s="60">
        <v>57120</v>
      </c>
      <c r="I23" s="61">
        <v>50000</v>
      </c>
      <c r="J23" s="62">
        <v>0.19</v>
      </c>
      <c r="K23" s="63">
        <v>59500</v>
      </c>
      <c r="L23" s="64">
        <v>28000</v>
      </c>
      <c r="M23" s="65">
        <v>0.19</v>
      </c>
      <c r="N23" s="66">
        <v>33320</v>
      </c>
      <c r="O23" s="47">
        <f t="shared" si="0"/>
        <v>42000</v>
      </c>
      <c r="P23" s="48">
        <f t="shared" si="1"/>
        <v>12166</v>
      </c>
      <c r="Q23" s="48">
        <f t="shared" si="2"/>
        <v>29834</v>
      </c>
      <c r="R23" s="48">
        <f t="shared" si="3"/>
        <v>54166</v>
      </c>
      <c r="S23" s="76">
        <f t="shared" si="4"/>
        <v>48000</v>
      </c>
      <c r="T23" s="76">
        <f t="shared" si="5"/>
        <v>50000</v>
      </c>
      <c r="U23" s="198" t="str">
        <f t="shared" si="6"/>
        <v>Por fuera del Túnel</v>
      </c>
      <c r="V23" s="112">
        <f>ROUND(IF(AVERAGE(S23:U23)&lt;O23,AVERAGE(S23:U23),O23),0)</f>
        <v>42000</v>
      </c>
      <c r="W23" s="77">
        <f>+S23</f>
        <v>48000</v>
      </c>
      <c r="X23" s="77">
        <f t="shared" si="10"/>
        <v>7980</v>
      </c>
      <c r="Y23" s="189">
        <f t="shared" si="8"/>
        <v>49980</v>
      </c>
      <c r="Z23" s="115">
        <v>12</v>
      </c>
      <c r="AA23" s="121">
        <f>+Y23*Z23</f>
        <v>599760</v>
      </c>
      <c r="AB23" s="31"/>
      <c r="AC23" s="110"/>
    </row>
    <row r="24" spans="2:29" ht="30" customHeight="1" x14ac:dyDescent="0.25">
      <c r="B24" s="44">
        <v>6</v>
      </c>
      <c r="C24" s="45" t="s">
        <v>6</v>
      </c>
      <c r="D24" s="3">
        <v>1</v>
      </c>
      <c r="E24" s="4" t="s">
        <v>4</v>
      </c>
      <c r="F24" s="58">
        <v>88000</v>
      </c>
      <c r="G24" s="59">
        <v>0.19</v>
      </c>
      <c r="H24" s="60">
        <v>104720</v>
      </c>
      <c r="I24" s="61">
        <v>135000</v>
      </c>
      <c r="J24" s="62">
        <v>0.19</v>
      </c>
      <c r="K24" s="63">
        <v>160650</v>
      </c>
      <c r="L24" s="64">
        <v>80000</v>
      </c>
      <c r="M24" s="65">
        <v>0.19</v>
      </c>
      <c r="N24" s="66">
        <v>95200</v>
      </c>
      <c r="O24" s="47">
        <f t="shared" si="0"/>
        <v>101000</v>
      </c>
      <c r="P24" s="48">
        <f t="shared" si="1"/>
        <v>29716</v>
      </c>
      <c r="Q24" s="48">
        <f t="shared" si="2"/>
        <v>71284</v>
      </c>
      <c r="R24" s="48">
        <f t="shared" si="3"/>
        <v>130716</v>
      </c>
      <c r="S24" s="76">
        <f t="shared" si="4"/>
        <v>88000</v>
      </c>
      <c r="T24" s="76" t="str">
        <f t="shared" si="5"/>
        <v>Por fuera del Túnel</v>
      </c>
      <c r="U24" s="198">
        <f t="shared" si="6"/>
        <v>80000</v>
      </c>
      <c r="V24" s="112">
        <f t="shared" ref="V24" si="13">ROUND(IF(AVERAGE(S24:U24)&lt;O24,AVERAGE(S24:U24),O24),0)</f>
        <v>84000</v>
      </c>
      <c r="W24" s="77">
        <f>+U24</f>
        <v>80000</v>
      </c>
      <c r="X24" s="77">
        <f t="shared" si="10"/>
        <v>15960</v>
      </c>
      <c r="Y24" s="189">
        <f t="shared" si="8"/>
        <v>99960</v>
      </c>
      <c r="Z24" s="115">
        <v>3</v>
      </c>
      <c r="AA24" s="121">
        <f t="shared" ref="AA24" si="14">+Y24*Z24</f>
        <v>299880</v>
      </c>
      <c r="AB24" s="31"/>
      <c r="AC24" s="110"/>
    </row>
    <row r="25" spans="2:29" ht="30" customHeight="1" x14ac:dyDescent="0.25">
      <c r="B25" s="44">
        <v>7</v>
      </c>
      <c r="C25" s="45" t="s">
        <v>19</v>
      </c>
      <c r="D25" s="3">
        <v>1</v>
      </c>
      <c r="E25" s="4" t="s">
        <v>4</v>
      </c>
      <c r="F25" s="58">
        <v>85000</v>
      </c>
      <c r="G25" s="59">
        <v>0.19</v>
      </c>
      <c r="H25" s="60">
        <v>101150</v>
      </c>
      <c r="I25" s="61">
        <v>60000</v>
      </c>
      <c r="J25" s="62">
        <v>0.19</v>
      </c>
      <c r="K25" s="63">
        <v>71400</v>
      </c>
      <c r="L25" s="64">
        <v>35000</v>
      </c>
      <c r="M25" s="65">
        <v>0.19</v>
      </c>
      <c r="N25" s="66">
        <v>41650</v>
      </c>
      <c r="O25" s="47">
        <f t="shared" si="0"/>
        <v>60000</v>
      </c>
      <c r="P25" s="48">
        <f t="shared" si="1"/>
        <v>25000</v>
      </c>
      <c r="Q25" s="48">
        <f t="shared" si="2"/>
        <v>35000</v>
      </c>
      <c r="R25" s="48">
        <f t="shared" si="3"/>
        <v>85000</v>
      </c>
      <c r="S25" s="76" t="str">
        <f t="shared" si="4"/>
        <v>Por fuera del Túnel</v>
      </c>
      <c r="T25" s="76">
        <f t="shared" si="5"/>
        <v>60000</v>
      </c>
      <c r="U25" s="198" t="str">
        <f t="shared" si="6"/>
        <v>Por fuera del Túnel</v>
      </c>
      <c r="V25" s="112">
        <f t="shared" si="7"/>
        <v>60000</v>
      </c>
      <c r="W25" s="77">
        <f>+T25</f>
        <v>60000</v>
      </c>
      <c r="X25" s="77">
        <f t="shared" si="10"/>
        <v>11400</v>
      </c>
      <c r="Y25" s="189">
        <f t="shared" si="8"/>
        <v>71400</v>
      </c>
      <c r="Z25" s="115">
        <v>20</v>
      </c>
      <c r="AA25" s="121">
        <f t="shared" si="9"/>
        <v>1428000</v>
      </c>
      <c r="AB25" s="31"/>
      <c r="AC25" s="110"/>
    </row>
    <row r="26" spans="2:29" ht="30" customHeight="1" x14ac:dyDescent="0.25">
      <c r="B26" s="44">
        <v>8</v>
      </c>
      <c r="C26" s="45" t="s">
        <v>20</v>
      </c>
      <c r="D26" s="3">
        <v>1</v>
      </c>
      <c r="E26" s="4" t="s">
        <v>4</v>
      </c>
      <c r="F26" s="58">
        <v>125000</v>
      </c>
      <c r="G26" s="59">
        <v>0.19</v>
      </c>
      <c r="H26" s="60">
        <v>148750</v>
      </c>
      <c r="I26" s="61">
        <v>125000</v>
      </c>
      <c r="J26" s="62">
        <v>0.19</v>
      </c>
      <c r="K26" s="63">
        <v>148750</v>
      </c>
      <c r="L26" s="64">
        <v>100000</v>
      </c>
      <c r="M26" s="65">
        <v>0.19</v>
      </c>
      <c r="N26" s="66">
        <v>119000</v>
      </c>
      <c r="O26" s="47">
        <f t="shared" si="0"/>
        <v>116668</v>
      </c>
      <c r="P26" s="48">
        <f t="shared" si="1"/>
        <v>14434</v>
      </c>
      <c r="Q26" s="48">
        <f t="shared" si="2"/>
        <v>102234</v>
      </c>
      <c r="R26" s="48">
        <f t="shared" si="3"/>
        <v>131102</v>
      </c>
      <c r="S26" s="76">
        <f t="shared" si="4"/>
        <v>125000</v>
      </c>
      <c r="T26" s="76">
        <f t="shared" si="5"/>
        <v>125000</v>
      </c>
      <c r="U26" s="198" t="str">
        <f t="shared" si="6"/>
        <v>Por fuera del Túnel</v>
      </c>
      <c r="V26" s="112">
        <f t="shared" si="7"/>
        <v>116668</v>
      </c>
      <c r="W26" s="77">
        <f>+T26</f>
        <v>125000</v>
      </c>
      <c r="X26" s="77">
        <f t="shared" si="10"/>
        <v>22168</v>
      </c>
      <c r="Y26" s="189">
        <f t="shared" si="8"/>
        <v>138836</v>
      </c>
      <c r="Z26" s="115">
        <v>10</v>
      </c>
      <c r="AA26" s="121">
        <f t="shared" si="9"/>
        <v>1388360</v>
      </c>
      <c r="AB26" s="31"/>
      <c r="AC26" s="110"/>
    </row>
    <row r="27" spans="2:29" ht="30" customHeight="1" x14ac:dyDescent="0.25">
      <c r="B27" s="44">
        <v>9</v>
      </c>
      <c r="C27" s="45" t="s">
        <v>7</v>
      </c>
      <c r="D27" s="3">
        <v>1</v>
      </c>
      <c r="E27" s="4" t="s">
        <v>4</v>
      </c>
      <c r="F27" s="58">
        <v>85000</v>
      </c>
      <c r="G27" s="59">
        <v>0.19</v>
      </c>
      <c r="H27" s="60">
        <v>101150</v>
      </c>
      <c r="I27" s="61">
        <v>65000</v>
      </c>
      <c r="J27" s="62">
        <v>0.19</v>
      </c>
      <c r="K27" s="63">
        <v>77350</v>
      </c>
      <c r="L27" s="64">
        <v>40000</v>
      </c>
      <c r="M27" s="65">
        <v>0.19</v>
      </c>
      <c r="N27" s="66">
        <v>47600</v>
      </c>
      <c r="O27" s="47">
        <f t="shared" si="0"/>
        <v>63334</v>
      </c>
      <c r="P27" s="48">
        <f t="shared" si="1"/>
        <v>22548</v>
      </c>
      <c r="Q27" s="48">
        <f t="shared" si="2"/>
        <v>40786</v>
      </c>
      <c r="R27" s="48">
        <f t="shared" si="3"/>
        <v>85882</v>
      </c>
      <c r="S27" s="76">
        <f t="shared" si="4"/>
        <v>85000</v>
      </c>
      <c r="T27" s="76">
        <f t="shared" si="5"/>
        <v>65000</v>
      </c>
      <c r="U27" s="198" t="str">
        <f t="shared" si="6"/>
        <v>Por fuera del Túnel</v>
      </c>
      <c r="V27" s="112">
        <f t="shared" si="7"/>
        <v>63334</v>
      </c>
      <c r="W27" s="77">
        <f>+T27</f>
        <v>65000</v>
      </c>
      <c r="X27" s="77">
        <f t="shared" si="10"/>
        <v>12034</v>
      </c>
      <c r="Y27" s="189">
        <f t="shared" si="8"/>
        <v>75368</v>
      </c>
      <c r="Z27" s="115">
        <v>12</v>
      </c>
      <c r="AA27" s="121">
        <f t="shared" si="9"/>
        <v>904416</v>
      </c>
      <c r="AB27" s="31"/>
      <c r="AC27" s="110"/>
    </row>
    <row r="28" spans="2:29" ht="30" customHeight="1" x14ac:dyDescent="0.25">
      <c r="B28" s="44">
        <v>10</v>
      </c>
      <c r="C28" s="45" t="s">
        <v>8</v>
      </c>
      <c r="D28" s="3">
        <v>1</v>
      </c>
      <c r="E28" s="4" t="s">
        <v>4</v>
      </c>
      <c r="F28" s="58">
        <v>125000</v>
      </c>
      <c r="G28" s="59">
        <v>0.19</v>
      </c>
      <c r="H28" s="60">
        <v>148750</v>
      </c>
      <c r="I28" s="61">
        <v>125000</v>
      </c>
      <c r="J28" s="62">
        <v>0.19</v>
      </c>
      <c r="K28" s="63">
        <v>148750</v>
      </c>
      <c r="L28" s="64">
        <v>100000</v>
      </c>
      <c r="M28" s="65">
        <v>0.19</v>
      </c>
      <c r="N28" s="66">
        <v>119000</v>
      </c>
      <c r="O28" s="47">
        <f t="shared" si="0"/>
        <v>116668</v>
      </c>
      <c r="P28" s="48">
        <f t="shared" si="1"/>
        <v>14434</v>
      </c>
      <c r="Q28" s="48">
        <f t="shared" si="2"/>
        <v>102234</v>
      </c>
      <c r="R28" s="48">
        <f t="shared" si="3"/>
        <v>131102</v>
      </c>
      <c r="S28" s="76">
        <f t="shared" si="4"/>
        <v>125000</v>
      </c>
      <c r="T28" s="76">
        <f t="shared" si="5"/>
        <v>125000</v>
      </c>
      <c r="U28" s="198" t="str">
        <f t="shared" si="6"/>
        <v>Por fuera del Túnel</v>
      </c>
      <c r="V28" s="112">
        <f t="shared" si="7"/>
        <v>116668</v>
      </c>
      <c r="W28" s="77">
        <f>+T28</f>
        <v>125000</v>
      </c>
      <c r="X28" s="77">
        <f t="shared" si="10"/>
        <v>22168</v>
      </c>
      <c r="Y28" s="189">
        <f t="shared" si="8"/>
        <v>138836</v>
      </c>
      <c r="Z28" s="115">
        <v>6</v>
      </c>
      <c r="AA28" s="121">
        <f t="shared" si="9"/>
        <v>833016</v>
      </c>
      <c r="AB28" s="31"/>
      <c r="AC28" s="110"/>
    </row>
    <row r="29" spans="2:29" ht="30" customHeight="1" x14ac:dyDescent="0.25">
      <c r="B29" s="44">
        <v>11</v>
      </c>
      <c r="C29" s="45" t="s">
        <v>17</v>
      </c>
      <c r="D29" s="3">
        <v>1</v>
      </c>
      <c r="E29" s="4" t="s">
        <v>4</v>
      </c>
      <c r="F29" s="58">
        <v>85000</v>
      </c>
      <c r="G29" s="59">
        <v>0.19</v>
      </c>
      <c r="H29" s="60">
        <v>101150</v>
      </c>
      <c r="I29" s="61">
        <v>70000</v>
      </c>
      <c r="J29" s="62">
        <v>0.19</v>
      </c>
      <c r="K29" s="63">
        <v>83300</v>
      </c>
      <c r="L29" s="64">
        <v>45000</v>
      </c>
      <c r="M29" s="65">
        <v>0.19</v>
      </c>
      <c r="N29" s="66">
        <v>53550</v>
      </c>
      <c r="O29" s="47">
        <f t="shared" si="0"/>
        <v>66668</v>
      </c>
      <c r="P29" s="48">
        <f t="shared" si="1"/>
        <v>20208</v>
      </c>
      <c r="Q29" s="48">
        <f t="shared" si="2"/>
        <v>46460</v>
      </c>
      <c r="R29" s="48">
        <f t="shared" si="3"/>
        <v>86876</v>
      </c>
      <c r="S29" s="76">
        <f t="shared" si="4"/>
        <v>85000</v>
      </c>
      <c r="T29" s="76">
        <f t="shared" si="5"/>
        <v>70000</v>
      </c>
      <c r="U29" s="198" t="str">
        <f t="shared" si="6"/>
        <v>Por fuera del Túnel</v>
      </c>
      <c r="V29" s="112">
        <f t="shared" si="7"/>
        <v>66668</v>
      </c>
      <c r="W29" s="77">
        <f>+T29</f>
        <v>70000</v>
      </c>
      <c r="X29" s="77">
        <f t="shared" si="10"/>
        <v>12668</v>
      </c>
      <c r="Y29" s="189">
        <f t="shared" si="8"/>
        <v>79336</v>
      </c>
      <c r="Z29" s="115">
        <v>88</v>
      </c>
      <c r="AA29" s="121">
        <f t="shared" si="9"/>
        <v>6981568</v>
      </c>
      <c r="AB29" s="31"/>
      <c r="AC29" s="110"/>
    </row>
    <row r="30" spans="2:29" ht="30" customHeight="1" x14ac:dyDescent="0.25">
      <c r="B30" s="44">
        <v>12</v>
      </c>
      <c r="C30" s="45" t="s">
        <v>18</v>
      </c>
      <c r="D30" s="3">
        <v>1</v>
      </c>
      <c r="E30" s="4" t="s">
        <v>4</v>
      </c>
      <c r="F30" s="58">
        <v>125000</v>
      </c>
      <c r="G30" s="59">
        <v>0.19</v>
      </c>
      <c r="H30" s="60">
        <v>148750</v>
      </c>
      <c r="I30" s="61">
        <v>110000</v>
      </c>
      <c r="J30" s="62">
        <v>0.19</v>
      </c>
      <c r="K30" s="63">
        <v>130900</v>
      </c>
      <c r="L30" s="64">
        <v>120000</v>
      </c>
      <c r="M30" s="65">
        <v>0.19</v>
      </c>
      <c r="N30" s="66">
        <v>142800</v>
      </c>
      <c r="O30" s="47">
        <f t="shared" si="0"/>
        <v>118334</v>
      </c>
      <c r="P30" s="48">
        <f t="shared" si="1"/>
        <v>7638</v>
      </c>
      <c r="Q30" s="48">
        <f t="shared" si="2"/>
        <v>110696</v>
      </c>
      <c r="R30" s="48">
        <f t="shared" si="3"/>
        <v>125972</v>
      </c>
      <c r="S30" s="76">
        <f t="shared" si="4"/>
        <v>125000</v>
      </c>
      <c r="T30" s="76" t="str">
        <f t="shared" si="5"/>
        <v>Por fuera del Túnel</v>
      </c>
      <c r="U30" s="198">
        <f t="shared" si="6"/>
        <v>120000</v>
      </c>
      <c r="V30" s="112">
        <f t="shared" si="7"/>
        <v>118334</v>
      </c>
      <c r="W30" s="77">
        <f>+U30</f>
        <v>120000</v>
      </c>
      <c r="X30" s="77">
        <f t="shared" si="10"/>
        <v>22484</v>
      </c>
      <c r="Y30" s="189">
        <f t="shared" si="8"/>
        <v>140818</v>
      </c>
      <c r="Z30" s="115">
        <v>40</v>
      </c>
      <c r="AA30" s="121">
        <f t="shared" si="9"/>
        <v>5632720</v>
      </c>
      <c r="AB30" s="31"/>
      <c r="AC30" s="110"/>
    </row>
    <row r="31" spans="2:29" ht="30" customHeight="1" x14ac:dyDescent="0.25">
      <c r="B31" s="44">
        <v>13</v>
      </c>
      <c r="C31" s="45" t="s">
        <v>9</v>
      </c>
      <c r="D31" s="3">
        <v>1</v>
      </c>
      <c r="E31" s="4" t="s">
        <v>4</v>
      </c>
      <c r="F31" s="58">
        <v>180000</v>
      </c>
      <c r="G31" s="59">
        <v>0.19</v>
      </c>
      <c r="H31" s="60">
        <v>214200</v>
      </c>
      <c r="I31" s="61">
        <v>80000</v>
      </c>
      <c r="J31" s="62">
        <v>0.19</v>
      </c>
      <c r="K31" s="63">
        <v>95200</v>
      </c>
      <c r="L31" s="64">
        <v>60000</v>
      </c>
      <c r="M31" s="65">
        <v>0.19</v>
      </c>
      <c r="N31" s="66">
        <v>71400</v>
      </c>
      <c r="O31" s="47">
        <f t="shared" si="0"/>
        <v>106668</v>
      </c>
      <c r="P31" s="48">
        <f t="shared" si="1"/>
        <v>64292</v>
      </c>
      <c r="Q31" s="48">
        <f t="shared" si="2"/>
        <v>42376</v>
      </c>
      <c r="R31" s="48">
        <f t="shared" si="3"/>
        <v>170960</v>
      </c>
      <c r="S31" s="76" t="str">
        <f t="shared" si="4"/>
        <v>Por fuera del Túnel</v>
      </c>
      <c r="T31" s="76">
        <f t="shared" si="5"/>
        <v>80000</v>
      </c>
      <c r="U31" s="198">
        <f t="shared" si="6"/>
        <v>60000</v>
      </c>
      <c r="V31" s="112">
        <f t="shared" si="7"/>
        <v>70000</v>
      </c>
      <c r="W31" s="77">
        <f>+U31</f>
        <v>60000</v>
      </c>
      <c r="X31" s="77">
        <f t="shared" si="10"/>
        <v>13300</v>
      </c>
      <c r="Y31" s="189">
        <f t="shared" si="8"/>
        <v>83300</v>
      </c>
      <c r="Z31" s="115">
        <v>4</v>
      </c>
      <c r="AA31" s="121">
        <f t="shared" si="9"/>
        <v>333200</v>
      </c>
      <c r="AB31" s="31"/>
      <c r="AC31" s="110"/>
    </row>
    <row r="32" spans="2:29" ht="30" customHeight="1" x14ac:dyDescent="0.25">
      <c r="B32" s="44">
        <v>14</v>
      </c>
      <c r="C32" s="45" t="s">
        <v>10</v>
      </c>
      <c r="D32" s="3">
        <v>1</v>
      </c>
      <c r="E32" s="4" t="s">
        <v>4</v>
      </c>
      <c r="F32" s="58">
        <v>290000</v>
      </c>
      <c r="G32" s="59">
        <v>0.19</v>
      </c>
      <c r="H32" s="60">
        <v>345100</v>
      </c>
      <c r="I32" s="61">
        <v>120000</v>
      </c>
      <c r="J32" s="62">
        <v>0.19</v>
      </c>
      <c r="K32" s="63">
        <v>142800</v>
      </c>
      <c r="L32" s="64">
        <v>120000</v>
      </c>
      <c r="M32" s="65">
        <v>0.19</v>
      </c>
      <c r="N32" s="66">
        <v>142800</v>
      </c>
      <c r="O32" s="47">
        <f t="shared" si="0"/>
        <v>176668</v>
      </c>
      <c r="P32" s="48">
        <f t="shared" si="1"/>
        <v>98150</v>
      </c>
      <c r="Q32" s="48">
        <f t="shared" si="2"/>
        <v>78518</v>
      </c>
      <c r="R32" s="48">
        <f t="shared" si="3"/>
        <v>274818</v>
      </c>
      <c r="S32" s="76" t="str">
        <f t="shared" si="4"/>
        <v>Por fuera del Túnel</v>
      </c>
      <c r="T32" s="76">
        <f t="shared" si="5"/>
        <v>120000</v>
      </c>
      <c r="U32" s="198">
        <f t="shared" si="6"/>
        <v>120000</v>
      </c>
      <c r="V32" s="112">
        <f t="shared" si="7"/>
        <v>120000</v>
      </c>
      <c r="W32" s="77">
        <f>+U32</f>
        <v>120000</v>
      </c>
      <c r="X32" s="77">
        <f t="shared" si="10"/>
        <v>22800</v>
      </c>
      <c r="Y32" s="189">
        <f t="shared" si="8"/>
        <v>142800</v>
      </c>
      <c r="Z32" s="115">
        <v>1</v>
      </c>
      <c r="AA32" s="121">
        <f t="shared" si="9"/>
        <v>142800</v>
      </c>
      <c r="AB32" s="31"/>
      <c r="AC32" s="110"/>
    </row>
    <row r="33" spans="2:29" ht="30" customHeight="1" x14ac:dyDescent="0.25">
      <c r="B33" s="44">
        <v>15</v>
      </c>
      <c r="C33" s="45" t="s">
        <v>11</v>
      </c>
      <c r="D33" s="3">
        <v>1</v>
      </c>
      <c r="E33" s="4" t="s">
        <v>4</v>
      </c>
      <c r="F33" s="58">
        <v>115000</v>
      </c>
      <c r="G33" s="59">
        <v>0.19</v>
      </c>
      <c r="H33" s="60">
        <v>136850</v>
      </c>
      <c r="I33" s="61">
        <v>75000</v>
      </c>
      <c r="J33" s="62">
        <v>0.19</v>
      </c>
      <c r="K33" s="63">
        <v>89250</v>
      </c>
      <c r="L33" s="64">
        <v>60000</v>
      </c>
      <c r="M33" s="65">
        <v>0.19</v>
      </c>
      <c r="N33" s="66">
        <v>71400</v>
      </c>
      <c r="O33" s="47">
        <f t="shared" si="0"/>
        <v>83334</v>
      </c>
      <c r="P33" s="48">
        <f t="shared" si="1"/>
        <v>28432</v>
      </c>
      <c r="Q33" s="48">
        <f t="shared" si="2"/>
        <v>54902</v>
      </c>
      <c r="R33" s="48">
        <f t="shared" si="3"/>
        <v>111766</v>
      </c>
      <c r="S33" s="76" t="str">
        <f t="shared" si="4"/>
        <v>Por fuera del Túnel</v>
      </c>
      <c r="T33" s="76">
        <f t="shared" si="5"/>
        <v>75000</v>
      </c>
      <c r="U33" s="198">
        <f t="shared" si="6"/>
        <v>60000</v>
      </c>
      <c r="V33" s="112">
        <f t="shared" si="7"/>
        <v>67500</v>
      </c>
      <c r="W33" s="77">
        <f>+U33</f>
        <v>60000</v>
      </c>
      <c r="X33" s="77">
        <f t="shared" si="10"/>
        <v>12826</v>
      </c>
      <c r="Y33" s="189">
        <f t="shared" si="8"/>
        <v>80326</v>
      </c>
      <c r="Z33" s="115">
        <v>4</v>
      </c>
      <c r="AA33" s="121">
        <f t="shared" si="9"/>
        <v>321304</v>
      </c>
      <c r="AB33" s="31"/>
      <c r="AC33" s="110"/>
    </row>
    <row r="34" spans="2:29" ht="30" customHeight="1" thickBot="1" x14ac:dyDescent="0.3">
      <c r="B34" s="44">
        <v>16</v>
      </c>
      <c r="C34" s="45" t="s">
        <v>12</v>
      </c>
      <c r="D34" s="3">
        <v>1</v>
      </c>
      <c r="E34" s="4" t="s">
        <v>4</v>
      </c>
      <c r="F34" s="67">
        <v>155000</v>
      </c>
      <c r="G34" s="68">
        <v>0.19</v>
      </c>
      <c r="H34" s="69">
        <v>184450</v>
      </c>
      <c r="I34" s="70">
        <v>115000</v>
      </c>
      <c r="J34" s="71">
        <v>0.19</v>
      </c>
      <c r="K34" s="72">
        <v>136850</v>
      </c>
      <c r="L34" s="73">
        <v>120000</v>
      </c>
      <c r="M34" s="74">
        <v>0.19</v>
      </c>
      <c r="N34" s="75">
        <v>142800</v>
      </c>
      <c r="O34" s="199">
        <f t="shared" si="0"/>
        <v>130000</v>
      </c>
      <c r="P34" s="200">
        <f t="shared" si="1"/>
        <v>21796</v>
      </c>
      <c r="Q34" s="200">
        <f t="shared" si="2"/>
        <v>108204</v>
      </c>
      <c r="R34" s="200">
        <f t="shared" si="3"/>
        <v>151796</v>
      </c>
      <c r="S34" s="201" t="str">
        <f t="shared" si="4"/>
        <v>Por fuera del Túnel</v>
      </c>
      <c r="T34" s="201">
        <f t="shared" si="5"/>
        <v>115000</v>
      </c>
      <c r="U34" s="202">
        <f t="shared" si="6"/>
        <v>120000</v>
      </c>
      <c r="V34" s="113">
        <f t="shared" si="7"/>
        <v>117500</v>
      </c>
      <c r="W34" s="79">
        <f>+T34</f>
        <v>115000</v>
      </c>
      <c r="X34" s="79">
        <f>EVEN(V34*19%)</f>
        <v>22326</v>
      </c>
      <c r="Y34" s="190">
        <f t="shared" si="8"/>
        <v>139826</v>
      </c>
      <c r="Z34" s="116">
        <v>1</v>
      </c>
      <c r="AA34" s="122">
        <f t="shared" si="9"/>
        <v>139826</v>
      </c>
      <c r="AB34" s="31"/>
      <c r="AC34" s="110"/>
    </row>
    <row r="35" spans="2:29" ht="30" customHeight="1" thickBot="1" x14ac:dyDescent="0.3">
      <c r="B35" s="191" t="s">
        <v>75</v>
      </c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3"/>
      <c r="V35" s="142" t="s">
        <v>37</v>
      </c>
      <c r="W35" s="143"/>
      <c r="X35" s="143"/>
      <c r="Y35" s="143"/>
      <c r="Z35" s="144"/>
      <c r="AA35" s="123">
        <f>SUM(AA19:AA34)</f>
        <v>19781150</v>
      </c>
      <c r="AB35" s="31"/>
      <c r="AC35" s="110"/>
    </row>
    <row r="36" spans="2:29" ht="12.75" thickBot="1" x14ac:dyDescent="0.3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4"/>
    </row>
    <row r="37" spans="2:29" ht="78.75" customHeight="1" thickBot="1" x14ac:dyDescent="0.3">
      <c r="B37" s="187" t="s">
        <v>108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5"/>
    </row>
    <row r="38" spans="2:29" x14ac:dyDescent="0.25">
      <c r="B38" s="126"/>
      <c r="C38" s="126"/>
    </row>
  </sheetData>
  <mergeCells count="20">
    <mergeCell ref="B2:AB4"/>
    <mergeCell ref="F17:H17"/>
    <mergeCell ref="I17:K17"/>
    <mergeCell ref="L17:N17"/>
    <mergeCell ref="O17:U17"/>
    <mergeCell ref="V17:AA17"/>
    <mergeCell ref="B35:U35"/>
    <mergeCell ref="B37:AB37"/>
    <mergeCell ref="B38:C38"/>
    <mergeCell ref="B5:AB5"/>
    <mergeCell ref="B6:AB6"/>
    <mergeCell ref="B7:AB7"/>
    <mergeCell ref="B8:AB8"/>
    <mergeCell ref="B15:D15"/>
    <mergeCell ref="V35:Z35"/>
    <mergeCell ref="B10:C10"/>
    <mergeCell ref="B11:C11"/>
    <mergeCell ref="B12:C12"/>
    <mergeCell ref="B13:C13"/>
    <mergeCell ref="B17:E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C29"/>
  <sheetViews>
    <sheetView showGridLines="0" showRowColHeaders="0" topLeftCell="A7" workbookViewId="0">
      <selection activeCell="C30" sqref="C30"/>
    </sheetView>
  </sheetViews>
  <sheetFormatPr baseColWidth="10" defaultRowHeight="15" x14ac:dyDescent="0.25"/>
  <cols>
    <col min="1" max="3" width="21.140625" customWidth="1"/>
  </cols>
  <sheetData>
    <row r="24" spans="1:3" ht="9.75" customHeight="1" thickBot="1" x14ac:dyDescent="0.3"/>
    <row r="25" spans="1:3" ht="15.75" hidden="1" thickBot="1" x14ac:dyDescent="0.3">
      <c r="C25" s="88"/>
    </row>
    <row r="26" spans="1:3" ht="36" customHeight="1" thickBot="1" x14ac:dyDescent="0.3">
      <c r="A26" s="180" t="s">
        <v>94</v>
      </c>
      <c r="B26" s="181"/>
      <c r="C26" s="182"/>
    </row>
    <row r="27" spans="1:3" ht="15.75" thickBot="1" x14ac:dyDescent="0.3">
      <c r="A27" s="92"/>
      <c r="B27" s="92"/>
      <c r="C27" s="93"/>
    </row>
    <row r="28" spans="1:3" ht="28.5" x14ac:dyDescent="0.25">
      <c r="A28" s="94" t="s">
        <v>95</v>
      </c>
      <c r="B28" s="95" t="s">
        <v>104</v>
      </c>
      <c r="C28" s="96" t="s">
        <v>93</v>
      </c>
    </row>
    <row r="29" spans="1:3" ht="15.75" thickBot="1" x14ac:dyDescent="0.3">
      <c r="A29" s="97">
        <v>134.44999999999999</v>
      </c>
      <c r="B29" s="98">
        <v>158.16999999999999</v>
      </c>
      <c r="C29" s="99">
        <f>+B29/A29</f>
        <v>1.1764224618817405</v>
      </c>
    </row>
  </sheetData>
  <mergeCells count="1">
    <mergeCell ref="A26:C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showGridLines="0" workbookViewId="0">
      <selection activeCell="F4" sqref="F4"/>
    </sheetView>
  </sheetViews>
  <sheetFormatPr baseColWidth="10" defaultRowHeight="15" x14ac:dyDescent="0.25"/>
  <cols>
    <col min="2" max="2" width="16" customWidth="1"/>
    <col min="3" max="3" width="24.28515625" customWidth="1"/>
    <col min="4" max="4" width="14.7109375" customWidth="1"/>
    <col min="5" max="5" width="13" customWidth="1"/>
    <col min="6" max="6" width="14.7109375" customWidth="1"/>
    <col min="7" max="7" width="17.42578125" customWidth="1"/>
  </cols>
  <sheetData>
    <row r="1" spans="2:7" ht="15.75" thickBot="1" x14ac:dyDescent="0.3"/>
    <row r="2" spans="2:7" ht="29.25" customHeight="1" x14ac:dyDescent="0.25">
      <c r="B2" s="183" t="s">
        <v>102</v>
      </c>
      <c r="C2" s="184"/>
      <c r="D2" s="184"/>
      <c r="E2" s="184"/>
      <c r="F2" s="184"/>
      <c r="G2" s="185"/>
    </row>
    <row r="3" spans="2:7" ht="32.25" thickBot="1" x14ac:dyDescent="0.3">
      <c r="B3" s="106" t="s">
        <v>96</v>
      </c>
      <c r="C3" s="107" t="s">
        <v>97</v>
      </c>
      <c r="D3" s="107" t="s">
        <v>98</v>
      </c>
      <c r="E3" s="107" t="s">
        <v>99</v>
      </c>
      <c r="F3" s="107" t="s">
        <v>100</v>
      </c>
      <c r="G3" s="108" t="s">
        <v>101</v>
      </c>
    </row>
    <row r="4" spans="2:7" ht="158.25" thickBot="1" x14ac:dyDescent="0.3">
      <c r="B4" s="100" t="s">
        <v>89</v>
      </c>
      <c r="C4" s="101" t="s">
        <v>78</v>
      </c>
      <c r="D4" s="102">
        <v>12359622</v>
      </c>
      <c r="E4" s="103">
        <v>45125</v>
      </c>
      <c r="F4" s="104">
        <v>1.1764224618817405</v>
      </c>
      <c r="G4" s="105">
        <f>+D4*F4</f>
        <v>14540136.941167722</v>
      </c>
    </row>
    <row r="5" spans="2:7" x14ac:dyDescent="0.25">
      <c r="G5" s="109"/>
    </row>
  </sheetData>
  <mergeCells count="1">
    <mergeCell ref="B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B10" activeCellId="2" sqref="B5 B7 B10"/>
    </sheetView>
  </sheetViews>
  <sheetFormatPr baseColWidth="10" defaultRowHeight="15" x14ac:dyDescent="0.25"/>
  <cols>
    <col min="1" max="1" width="24.85546875" customWidth="1"/>
    <col min="2" max="2" width="52.28515625" customWidth="1"/>
  </cols>
  <sheetData>
    <row r="2" spans="1:2" ht="15.75" x14ac:dyDescent="0.25">
      <c r="A2" s="186" t="s">
        <v>79</v>
      </c>
      <c r="B2" s="186"/>
    </row>
    <row r="3" spans="1:2" ht="31.5" x14ac:dyDescent="0.25">
      <c r="A3" s="83" t="s">
        <v>50</v>
      </c>
      <c r="B3" s="84" t="s">
        <v>76</v>
      </c>
    </row>
    <row r="4" spans="1:2" ht="15.75" x14ac:dyDescent="0.25">
      <c r="A4" s="83" t="s">
        <v>81</v>
      </c>
      <c r="B4" s="84" t="s">
        <v>77</v>
      </c>
    </row>
    <row r="5" spans="1:2" ht="15.75" x14ac:dyDescent="0.25">
      <c r="A5" s="83" t="s">
        <v>80</v>
      </c>
      <c r="B5" s="84" t="s">
        <v>89</v>
      </c>
    </row>
    <row r="6" spans="1:2" ht="31.5" x14ac:dyDescent="0.25">
      <c r="A6" s="83" t="s">
        <v>83</v>
      </c>
      <c r="B6" s="84" t="s">
        <v>90</v>
      </c>
    </row>
    <row r="7" spans="1:2" ht="63" x14ac:dyDescent="0.25">
      <c r="A7" s="83" t="s">
        <v>82</v>
      </c>
      <c r="B7" s="84" t="s">
        <v>78</v>
      </c>
    </row>
    <row r="8" spans="1:2" ht="16.5" x14ac:dyDescent="0.25">
      <c r="A8" s="83" t="s">
        <v>84</v>
      </c>
      <c r="B8" s="85">
        <v>12359622</v>
      </c>
    </row>
    <row r="9" spans="1:2" ht="15.75" x14ac:dyDescent="0.25">
      <c r="A9" s="83" t="s">
        <v>85</v>
      </c>
      <c r="B9" s="84" t="s">
        <v>87</v>
      </c>
    </row>
    <row r="10" spans="1:2" ht="16.5" x14ac:dyDescent="0.25">
      <c r="A10" s="83" t="s">
        <v>88</v>
      </c>
      <c r="B10" s="85">
        <v>12359622</v>
      </c>
    </row>
    <row r="11" spans="1:2" ht="15.75" x14ac:dyDescent="0.25">
      <c r="A11" s="83" t="s">
        <v>86</v>
      </c>
      <c r="B11" s="84" t="s">
        <v>91</v>
      </c>
    </row>
    <row r="12" spans="1:2" ht="30" x14ac:dyDescent="0.25">
      <c r="A12" s="83" t="s">
        <v>54</v>
      </c>
      <c r="B12" s="86" t="s">
        <v>92</v>
      </c>
    </row>
  </sheetData>
  <mergeCells count="1">
    <mergeCell ref="A2:B2"/>
  </mergeCells>
  <hyperlinks>
    <hyperlink ref="B12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H3" sqref="H3"/>
    </sheetView>
  </sheetViews>
  <sheetFormatPr baseColWidth="10" defaultRowHeight="15" x14ac:dyDescent="0.25"/>
  <cols>
    <col min="1" max="1" width="24.5703125" customWidth="1"/>
    <col min="2" max="2" width="22" customWidth="1"/>
    <col min="3" max="3" width="36.140625" customWidth="1"/>
    <col min="4" max="4" width="18.5703125" customWidth="1"/>
    <col min="5" max="5" width="38" customWidth="1"/>
  </cols>
  <sheetData>
    <row r="1" spans="1:5" s="88" customFormat="1" ht="15.75" thickBot="1" x14ac:dyDescent="0.3">
      <c r="A1" s="87"/>
      <c r="B1" s="87"/>
      <c r="C1" s="87"/>
      <c r="D1" s="87"/>
      <c r="E1" s="87"/>
    </row>
    <row r="2" spans="1:5" ht="15.75" thickBot="1" x14ac:dyDescent="0.3">
      <c r="A2" s="89" t="s">
        <v>50</v>
      </c>
      <c r="B2" s="90" t="s">
        <v>51</v>
      </c>
      <c r="C2" s="90" t="s">
        <v>52</v>
      </c>
      <c r="D2" s="90" t="s">
        <v>53</v>
      </c>
      <c r="E2" s="91" t="s">
        <v>54</v>
      </c>
    </row>
    <row r="3" spans="1:5" ht="75" x14ac:dyDescent="0.25">
      <c r="A3" s="41" t="s">
        <v>55</v>
      </c>
      <c r="B3" s="42" t="s">
        <v>56</v>
      </c>
      <c r="C3" s="42" t="s">
        <v>57</v>
      </c>
      <c r="D3" s="80">
        <v>2800000</v>
      </c>
      <c r="E3" s="43" t="s">
        <v>58</v>
      </c>
    </row>
    <row r="4" spans="1:5" ht="82.5" x14ac:dyDescent="0.25">
      <c r="A4" s="36" t="s">
        <v>59</v>
      </c>
      <c r="B4" s="35" t="s">
        <v>60</v>
      </c>
      <c r="C4" s="35" t="s">
        <v>61</v>
      </c>
      <c r="D4" s="81">
        <v>21296198</v>
      </c>
      <c r="E4" s="37" t="s">
        <v>58</v>
      </c>
    </row>
    <row r="5" spans="1:5" ht="75" x14ac:dyDescent="0.25">
      <c r="A5" s="36" t="s">
        <v>62</v>
      </c>
      <c r="B5" s="35" t="s">
        <v>63</v>
      </c>
      <c r="C5" s="35" t="s">
        <v>64</v>
      </c>
      <c r="D5" s="81">
        <v>37118668</v>
      </c>
      <c r="E5" s="37" t="s">
        <v>58</v>
      </c>
    </row>
    <row r="6" spans="1:5" ht="99" x14ac:dyDescent="0.25">
      <c r="A6" s="36" t="s">
        <v>65</v>
      </c>
      <c r="B6" s="35" t="s">
        <v>66</v>
      </c>
      <c r="C6" s="35" t="s">
        <v>67</v>
      </c>
      <c r="D6" s="81">
        <v>5000000</v>
      </c>
      <c r="E6" s="37" t="s">
        <v>58</v>
      </c>
    </row>
    <row r="7" spans="1:5" ht="115.5" x14ac:dyDescent="0.25">
      <c r="A7" s="36" t="s">
        <v>68</v>
      </c>
      <c r="B7" s="35" t="s">
        <v>69</v>
      </c>
      <c r="C7" s="35" t="s">
        <v>70</v>
      </c>
      <c r="D7" s="81">
        <v>67712800</v>
      </c>
      <c r="E7" s="37" t="s">
        <v>58</v>
      </c>
    </row>
    <row r="8" spans="1:5" ht="116.25" thickBot="1" x14ac:dyDescent="0.3">
      <c r="A8" s="38" t="s">
        <v>71</v>
      </c>
      <c r="B8" s="39" t="s">
        <v>72</v>
      </c>
      <c r="C8" s="39" t="s">
        <v>73</v>
      </c>
      <c r="D8" s="82">
        <v>25000000</v>
      </c>
      <c r="E8" s="40" t="s">
        <v>58</v>
      </c>
    </row>
  </sheetData>
  <hyperlinks>
    <hyperlink ref="E3" r:id="rId1"/>
    <hyperlink ref="E4" r:id="rId2"/>
    <hyperlink ref="E5" r:id="rId3"/>
    <hyperlink ref="E6" r:id="rId4"/>
    <hyperlink ref="E7" r:id="rId5"/>
    <hyperlink ref="E8" r:id="rId6"/>
  </hyperlinks>
  <pageMargins left="0.7" right="0.7" top="0.75" bottom="0.75" header="0.3" footer="0.3"/>
  <pageSetup paperSize="9" orientation="portrait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6A85991C71D34FA00D4CA5F84B35C3" ma:contentTypeVersion="13" ma:contentTypeDescription="Crée un document." ma:contentTypeScope="" ma:versionID="24616da566c3f24689cf1d106f6532b9">
  <xsd:schema xmlns:xsd="http://www.w3.org/2001/XMLSchema" xmlns:xs="http://www.w3.org/2001/XMLSchema" xmlns:p="http://schemas.microsoft.com/office/2006/metadata/properties" xmlns:ns3="33021b22-e0a8-4e94-8201-95ff77edd2a2" xmlns:ns4="03cc95b8-ae41-4eb1-9eb9-8b9ae0f9ad8a" targetNamespace="http://schemas.microsoft.com/office/2006/metadata/properties" ma:root="true" ma:fieldsID="8e8b22e28dd7746d045d2d597742e8d4" ns3:_="" ns4:_="">
    <xsd:import namespace="33021b22-e0a8-4e94-8201-95ff77edd2a2"/>
    <xsd:import namespace="03cc95b8-ae41-4eb1-9eb9-8b9ae0f9ad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021b22-e0a8-4e94-8201-95ff77edd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c95b8-ae41-4eb1-9eb9-8b9ae0f9ad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AB0485-F12D-4047-B60F-293C74C8CA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021b22-e0a8-4e94-8201-95ff77edd2a2"/>
    <ds:schemaRef ds:uri="03cc95b8-ae41-4eb1-9eb9-8b9ae0f9ad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8A6751-CD48-445B-A26E-740D81B2B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49EB12-43B6-4CC0-A4BC-67002B372DBB}">
  <ds:schemaRefs>
    <ds:schemaRef ds:uri="http://schemas.openxmlformats.org/package/2006/metadata/core-properties"/>
    <ds:schemaRef ds:uri="03cc95b8-ae41-4eb1-9eb9-8b9ae0f9ad8a"/>
    <ds:schemaRef ds:uri="http://purl.org/dc/elements/1.1/"/>
    <ds:schemaRef ds:uri="http://purl.org/dc/terms/"/>
    <ds:schemaRef ds:uri="http://schemas.microsoft.com/office/2006/metadata/properties"/>
    <ds:schemaRef ds:uri="33021b22-e0a8-4e94-8201-95ff77edd2a2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LAVADO DE VEHICULOS 2026</vt:lpstr>
      <vt:lpstr>INDEXACIÓN</vt:lpstr>
      <vt:lpstr>VALORES HISTÓRICO</vt:lpstr>
      <vt:lpstr>CONTRATOS AMB</vt:lpstr>
      <vt:lpstr>PROCESOS OTRAS ENTIDADES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Nohelia Velez Urrea</dc:creator>
  <cp:lastModifiedBy>Pablo Andres Pacheco Rodriguez</cp:lastModifiedBy>
  <dcterms:created xsi:type="dcterms:W3CDTF">2019-10-01T15:43:08Z</dcterms:created>
  <dcterms:modified xsi:type="dcterms:W3CDTF">2026-06-12T19:31:28Z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0x010100E16A85991C71D34FA00D4CA5F84B35C3</vt:lpwstr>
  </property>
</Properties>
</file>