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Estudio-mercado-2026 (1)\"/>
    </mc:Choice>
  </mc:AlternateContent>
  <xr:revisionPtr revIDLastSave="272" documentId="13_ncr:1_{596A535A-C8DE-42BA-A513-5B9E8532F3AB}" xr6:coauthVersionLast="47" xr6:coauthVersionMax="47" xr10:uidLastSave="{43230E26-6B51-434D-90CC-9380CB2B2D49}"/>
  <bookViews>
    <workbookView xWindow="-120" yWindow="-120" windowWidth="29040" windowHeight="15720" xr2:uid="{21335706-6541-4F55-A536-64788D348E0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8" i="1" l="1"/>
  <c r="AF9" i="1"/>
  <c r="AF10" i="1"/>
  <c r="AF11" i="1"/>
  <c r="AF7" i="1"/>
  <c r="P16" i="1"/>
  <c r="Q16" i="1" s="1"/>
  <c r="M16" i="1"/>
  <c r="N16" i="1" s="1"/>
  <c r="J16" i="1"/>
  <c r="K16" i="1" s="1"/>
  <c r="G16" i="1"/>
  <c r="H16" i="1" s="1"/>
  <c r="P8" i="1"/>
  <c r="Q8" i="1" s="1"/>
  <c r="M8" i="1"/>
  <c r="N8" i="1" s="1"/>
  <c r="J8" i="1"/>
  <c r="K8" i="1" s="1"/>
  <c r="G8" i="1"/>
  <c r="H8" i="1" s="1"/>
  <c r="S10" i="1"/>
  <c r="S9" i="1"/>
  <c r="S8" i="1"/>
  <c r="S7" i="1"/>
  <c r="M11" i="1"/>
  <c r="N11" i="1" s="1"/>
  <c r="M10" i="1"/>
  <c r="N10" i="1" s="1"/>
  <c r="M9" i="1"/>
  <c r="N9" i="1" s="1"/>
  <c r="M7" i="1"/>
  <c r="N7" i="1" s="1"/>
  <c r="J11" i="1"/>
  <c r="K11" i="1" s="1"/>
  <c r="J10" i="1"/>
  <c r="K10" i="1" s="1"/>
  <c r="J9" i="1"/>
  <c r="K9" i="1" s="1"/>
  <c r="J7" i="1"/>
  <c r="K7" i="1" s="1"/>
  <c r="G11" i="1"/>
  <c r="H11" i="1" s="1"/>
  <c r="G10" i="1"/>
  <c r="H10" i="1" s="1"/>
  <c r="G9" i="1"/>
  <c r="H9" i="1" s="1"/>
  <c r="G7" i="1"/>
  <c r="H7" i="1" s="1"/>
  <c r="P11" i="1"/>
  <c r="Q11" i="1" s="1"/>
  <c r="P10" i="1"/>
  <c r="Q10" i="1" s="1"/>
  <c r="P9" i="1"/>
  <c r="Q9" i="1" s="1"/>
  <c r="P7" i="1"/>
  <c r="Q7" i="1" s="1"/>
  <c r="T8" i="1"/>
  <c r="S11" i="1"/>
  <c r="AH11" i="1"/>
  <c r="AI11" i="1" s="1"/>
  <c r="AH10" i="1"/>
  <c r="AH9" i="1"/>
  <c r="AH8" i="1"/>
  <c r="AI8" i="1" s="1"/>
  <c r="AH7" i="1"/>
  <c r="AI7" i="1" s="1"/>
  <c r="AI10" i="1"/>
  <c r="U8" i="1"/>
  <c r="W8" i="1" l="1"/>
  <c r="K12" i="1"/>
  <c r="Q12" i="1"/>
  <c r="T7" i="1"/>
  <c r="T9" i="1"/>
  <c r="T10" i="1"/>
  <c r="W11" i="1"/>
  <c r="T11" i="1"/>
  <c r="X8" i="1"/>
  <c r="AJ8" i="1"/>
  <c r="AJ7" i="1"/>
  <c r="AI9" i="1"/>
  <c r="AJ9" i="1" s="1"/>
  <c r="AJ10" i="1"/>
  <c r="AJ11" i="1"/>
  <c r="Z8" i="1"/>
  <c r="Z11" i="1"/>
  <c r="W7" i="1" l="1"/>
  <c r="U7" i="1"/>
  <c r="W9" i="1"/>
  <c r="Z9" i="1"/>
  <c r="AA9" i="1" s="1"/>
  <c r="AB9" i="1" s="1"/>
  <c r="Z10" i="1"/>
  <c r="W10" i="1"/>
  <c r="X7" i="1"/>
  <c r="Z7" i="1"/>
  <c r="X11" i="1"/>
  <c r="U11" i="1"/>
  <c r="X10" i="1"/>
  <c r="U10" i="1"/>
  <c r="X9" i="1"/>
  <c r="U9" i="1"/>
  <c r="U12" i="1" s="1"/>
  <c r="AJ12" i="1"/>
  <c r="AA11" i="1"/>
  <c r="AB11" i="1" s="1"/>
  <c r="AC8" i="1"/>
  <c r="AD8" i="1" s="1"/>
  <c r="AA8" i="1"/>
  <c r="AB8" i="1" s="1"/>
  <c r="N12" i="1"/>
  <c r="AC11" i="1" l="1"/>
  <c r="AD11" i="1" s="1"/>
  <c r="W12" i="1"/>
  <c r="AA10" i="1"/>
  <c r="AB10" i="1" s="1"/>
  <c r="AC10" i="1"/>
  <c r="AD10" i="1" s="1"/>
  <c r="AC7" i="1"/>
  <c r="AD7" i="1" s="1"/>
  <c r="AA7" i="1"/>
  <c r="AB7" i="1" s="1"/>
  <c r="AC9" i="1"/>
  <c r="AD9" i="1" s="1"/>
  <c r="X12" i="1"/>
  <c r="AB12" i="1" l="1"/>
  <c r="AD12" i="1"/>
  <c r="H12" i="1"/>
</calcChain>
</file>

<file path=xl/sharedStrings.xml><?xml version="1.0" encoding="utf-8"?>
<sst xmlns="http://schemas.openxmlformats.org/spreadsheetml/2006/main" count="54" uniqueCount="30">
  <si>
    <t>CONSOLIDADO DE COTIZACIÓN</t>
  </si>
  <si>
    <t>CONTRATAR LOS SERVICIOS DE UNA EMPRESA DE SEGURIDAD DE LA INFORMACIÓN PARA LA CUSTODIA DE LOS BACKUPS DE LA CNSC.</t>
  </si>
  <si>
    <t>DETALLES</t>
  </si>
  <si>
    <t>MANEJO TECNICO DE INFORMACIÓN S.A.</t>
  </si>
  <si>
    <t>TANDEM</t>
  </si>
  <si>
    <t>TRANSCOCOL</t>
  </si>
  <si>
    <t>ATS GESTION DOCUMENTAL</t>
  </si>
  <si>
    <t>PROMEDIO</t>
  </si>
  <si>
    <t>MEDIA GEOMETRICA</t>
  </si>
  <si>
    <t>DESVIACIÓN ESTANDAR</t>
  </si>
  <si>
    <t>INTERVALO CONFIANZA PROMEDIO</t>
  </si>
  <si>
    <t>INTERVALO CONFIANZA MEDIA GEOMETRICA</t>
  </si>
  <si>
    <t>PRECIO TECHO SIN IVA VALOR UNITARIO POR ITEM</t>
  </si>
  <si>
    <t>Descarte Extremos</t>
  </si>
  <si>
    <t>ITEM</t>
  </si>
  <si>
    <t>DESCRIPCION</t>
  </si>
  <si>
    <t>CANTIDAD</t>
  </si>
  <si>
    <t>CANTIDAD MESES</t>
  </si>
  <si>
    <t>VR. UNIT$</t>
  </si>
  <si>
    <t>VR. IVA $ (si se requiere)</t>
  </si>
  <si>
    <t>VALOR $</t>
  </si>
  <si>
    <t>VALOR unidad con iva incluido$</t>
  </si>
  <si>
    <t>Recolecciòn inicial de Medios Magneticos</t>
  </si>
  <si>
    <t>Almacenamiento de medios magnéticos, vigencia hasta el 30 de diciembre 2026</t>
  </si>
  <si>
    <t>N/A</t>
  </si>
  <si>
    <t>Servicio de transporte ordinario: una vez a la semana cuatro (4) veces al mes - hasta el 30 de diciembre 2026: minimo 4 unidades transportadas</t>
  </si>
  <si>
    <t>Servicio de transporte de Emergencia categoría normal (ordinario), hasta once (11) veces en la ejecución del contrato: máximo hasta 10 unidades transportadas</t>
  </si>
  <si>
    <t>Servicio de transporte de Emergencia categoría urgente (extraordinario), hasta catorce (14) veces en la ejecución del contrato: máximo hasta 10 unidades transportadas</t>
  </si>
  <si>
    <t>Subtotal</t>
  </si>
  <si>
    <t>Confianza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</si>
</sst>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-[$$-409]* #,##0.00_ ;_-[$$-409]* \-#,##0.00\ ;_-[$$-409]* &quot;-&quot;??_ ;_-@_ "/>
    <numFmt numFmtId="168" formatCode="_-* #,##0_-;\-* #,##0_-;_-* &quot;-&quot;??_-;_-@_-"/>
    <numFmt numFmtId="169" formatCode="_-[$$-409]* #,##0.0000_ ;_-[$$-409]* \-#,##0.0000\ ;_-[$$-409]* &quot;-&quot;??_ ;_-@_ 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7"/>
      <color rgb="FF000000"/>
      <name val="Arial Narrow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 Narrow"/>
      <family val="2"/>
    </font>
    <font>
      <sz val="9"/>
      <color rgb="FF0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FFFF"/>
        <bgColor rgb="FF000000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166" fontId="0" fillId="6" borderId="7" xfId="2" applyNumberFormat="1" applyFont="1" applyFill="1" applyBorder="1" applyAlignment="1">
      <alignment horizontal="center" vertical="center"/>
    </xf>
    <xf numFmtId="164" fontId="0" fillId="6" borderId="8" xfId="1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166" fontId="0" fillId="0" borderId="0" xfId="2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0" fillId="9" borderId="0" xfId="0" applyFont="1" applyFill="1"/>
    <xf numFmtId="0" fontId="10" fillId="0" borderId="0" xfId="0" applyFont="1"/>
    <xf numFmtId="166" fontId="0" fillId="6" borderId="1" xfId="2" applyNumberFormat="1" applyFont="1" applyFill="1" applyBorder="1" applyAlignment="1">
      <alignment horizontal="center" vertical="center" wrapText="1"/>
    </xf>
    <xf numFmtId="0" fontId="12" fillId="0" borderId="0" xfId="0" applyFont="1"/>
    <xf numFmtId="166" fontId="0" fillId="0" borderId="0" xfId="0" applyNumberFormat="1" applyAlignment="1">
      <alignment horizontal="center" vertical="center"/>
    </xf>
    <xf numFmtId="164" fontId="0" fillId="0" borderId="29" xfId="1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164" fontId="6" fillId="0" borderId="30" xfId="1" applyFont="1" applyBorder="1" applyAlignment="1">
      <alignment horizontal="center"/>
    </xf>
    <xf numFmtId="168" fontId="7" fillId="0" borderId="1" xfId="2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8" fontId="7" fillId="0" borderId="22" xfId="2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168" fontId="7" fillId="0" borderId="24" xfId="2" applyNumberFormat="1" applyFont="1" applyBorder="1" applyAlignment="1">
      <alignment horizontal="center" vertical="center"/>
    </xf>
    <xf numFmtId="168" fontId="7" fillId="0" borderId="21" xfId="2" applyNumberFormat="1" applyFont="1" applyBorder="1" applyAlignment="1">
      <alignment horizontal="center" vertical="center"/>
    </xf>
    <xf numFmtId="168" fontId="7" fillId="0" borderId="2" xfId="2" applyNumberFormat="1" applyFont="1" applyBorder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 wrapText="1"/>
    </xf>
    <xf numFmtId="168" fontId="0" fillId="0" borderId="36" xfId="2" applyNumberFormat="1" applyFont="1" applyFill="1" applyBorder="1" applyAlignment="1">
      <alignment horizontal="center" vertical="center" wrapText="1"/>
    </xf>
    <xf numFmtId="0" fontId="0" fillId="6" borderId="37" xfId="0" applyFill="1" applyBorder="1" applyAlignment="1">
      <alignment horizontal="center" vertical="center" wrapText="1"/>
    </xf>
    <xf numFmtId="0" fontId="0" fillId="6" borderId="38" xfId="0" applyFill="1" applyBorder="1" applyAlignment="1">
      <alignment horizontal="center" vertical="center" wrapText="1"/>
    </xf>
    <xf numFmtId="0" fontId="0" fillId="6" borderId="39" xfId="0" applyFill="1" applyBorder="1" applyAlignment="1">
      <alignment horizontal="center" vertical="center" wrapText="1"/>
    </xf>
    <xf numFmtId="168" fontId="0" fillId="0" borderId="40" xfId="2" applyNumberFormat="1" applyFont="1" applyFill="1" applyBorder="1" applyAlignment="1">
      <alignment horizontal="center" vertical="center" wrapText="1"/>
    </xf>
    <xf numFmtId="168" fontId="0" fillId="0" borderId="41" xfId="2" applyNumberFormat="1" applyFont="1" applyFill="1" applyBorder="1" applyAlignment="1">
      <alignment horizontal="center" vertical="center" wrapText="1"/>
    </xf>
    <xf numFmtId="168" fontId="0" fillId="0" borderId="42" xfId="2" applyNumberFormat="1" applyFont="1" applyFill="1" applyBorder="1" applyAlignment="1">
      <alignment horizontal="center" vertical="center" wrapText="1"/>
    </xf>
    <xf numFmtId="168" fontId="0" fillId="0" borderId="43" xfId="2" applyNumberFormat="1" applyFont="1" applyFill="1" applyBorder="1" applyAlignment="1">
      <alignment horizontal="center" vertical="center" wrapText="1"/>
    </xf>
    <xf numFmtId="168" fontId="0" fillId="0" borderId="44" xfId="2" applyNumberFormat="1" applyFont="1" applyFill="1" applyBorder="1" applyAlignment="1">
      <alignment horizontal="center" vertical="center" wrapText="1"/>
    </xf>
    <xf numFmtId="166" fontId="14" fillId="0" borderId="45" xfId="0" applyNumberFormat="1" applyFont="1" applyBorder="1" applyAlignment="1">
      <alignment horizontal="center" vertical="center"/>
    </xf>
    <xf numFmtId="168" fontId="0" fillId="0" borderId="0" xfId="0" applyNumberFormat="1"/>
    <xf numFmtId="168" fontId="7" fillId="0" borderId="0" xfId="2" applyNumberFormat="1" applyFont="1" applyBorder="1" applyAlignment="1">
      <alignment horizontal="center" vertical="center"/>
    </xf>
    <xf numFmtId="164" fontId="0" fillId="0" borderId="0" xfId="1" applyFont="1" applyBorder="1" applyAlignment="1">
      <alignment horizontal="center"/>
    </xf>
    <xf numFmtId="164" fontId="0" fillId="0" borderId="0" xfId="0" applyNumberFormat="1"/>
    <xf numFmtId="164" fontId="0" fillId="0" borderId="48" xfId="1" applyFont="1" applyBorder="1" applyAlignment="1">
      <alignment horizontal="center"/>
    </xf>
    <xf numFmtId="0" fontId="0" fillId="0" borderId="4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8" fontId="7" fillId="0" borderId="7" xfId="2" applyNumberFormat="1" applyFont="1" applyBorder="1" applyAlignment="1">
      <alignment horizontal="center" vertical="center"/>
    </xf>
    <xf numFmtId="168" fontId="7" fillId="0" borderId="8" xfId="2" applyNumberFormat="1" applyFont="1" applyBorder="1" applyAlignment="1">
      <alignment horizontal="center" vertical="center"/>
    </xf>
    <xf numFmtId="168" fontId="7" fillId="0" borderId="50" xfId="2" applyNumberFormat="1" applyFont="1" applyBorder="1" applyAlignment="1">
      <alignment horizontal="center" vertical="center"/>
    </xf>
    <xf numFmtId="168" fontId="7" fillId="0" borderId="51" xfId="2" applyNumberFormat="1" applyFont="1" applyBorder="1" applyAlignment="1">
      <alignment horizontal="center" vertical="center"/>
    </xf>
    <xf numFmtId="168" fontId="7" fillId="0" borderId="52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2" applyFont="1"/>
    <xf numFmtId="167" fontId="13" fillId="0" borderId="0" xfId="0" applyNumberFormat="1" applyFont="1"/>
    <xf numFmtId="167" fontId="8" fillId="0" borderId="0" xfId="0" applyNumberFormat="1" applyFont="1"/>
    <xf numFmtId="164" fontId="0" fillId="0" borderId="10" xfId="1" applyFont="1" applyBorder="1" applyAlignment="1">
      <alignment horizontal="center"/>
    </xf>
    <xf numFmtId="0" fontId="0" fillId="6" borderId="49" xfId="0" applyFill="1" applyBorder="1" applyAlignment="1">
      <alignment horizontal="center" vertical="center" wrapText="1"/>
    </xf>
    <xf numFmtId="166" fontId="0" fillId="6" borderId="50" xfId="2" applyNumberFormat="1" applyFont="1" applyFill="1" applyBorder="1" applyAlignment="1">
      <alignment horizontal="center" vertical="center"/>
    </xf>
    <xf numFmtId="166" fontId="0" fillId="6" borderId="51" xfId="2" applyNumberFormat="1" applyFont="1" applyFill="1" applyBorder="1" applyAlignment="1">
      <alignment horizontal="center" vertical="center" wrapText="1"/>
    </xf>
    <xf numFmtId="164" fontId="0" fillId="6" borderId="52" xfId="1" applyFont="1" applyFill="1" applyBorder="1" applyAlignment="1">
      <alignment horizontal="center" vertical="center"/>
    </xf>
    <xf numFmtId="164" fontId="4" fillId="0" borderId="45" xfId="1" applyFont="1" applyBorder="1" applyAlignment="1">
      <alignment horizontal="center"/>
    </xf>
    <xf numFmtId="167" fontId="9" fillId="0" borderId="10" xfId="0" applyNumberFormat="1" applyFont="1" applyBorder="1" applyAlignment="1">
      <alignment horizontal="center" vertical="center"/>
    </xf>
    <xf numFmtId="167" fontId="9" fillId="0" borderId="58" xfId="0" applyNumberFormat="1" applyFont="1" applyBorder="1" applyAlignment="1">
      <alignment horizontal="center" vertical="center"/>
    </xf>
    <xf numFmtId="164" fontId="16" fillId="0" borderId="61" xfId="1" applyFont="1" applyBorder="1" applyAlignment="1">
      <alignment horizontal="center"/>
    </xf>
    <xf numFmtId="167" fontId="17" fillId="0" borderId="0" xfId="0" applyNumberFormat="1" applyFont="1"/>
    <xf numFmtId="169" fontId="8" fillId="0" borderId="36" xfId="0" applyNumberFormat="1" applyFont="1" applyBorder="1" applyAlignment="1">
      <alignment horizontal="center" vertical="center"/>
    </xf>
    <xf numFmtId="167" fontId="10" fillId="9" borderId="0" xfId="0" applyNumberFormat="1" applyFont="1" applyFill="1"/>
    <xf numFmtId="167" fontId="18" fillId="0" borderId="49" xfId="0" applyNumberFormat="1" applyFont="1" applyBorder="1" applyAlignment="1">
      <alignment horizontal="center" vertical="center"/>
    </xf>
    <xf numFmtId="167" fontId="18" fillId="0" borderId="57" xfId="0" applyNumberFormat="1" applyFont="1" applyBorder="1" applyAlignment="1">
      <alignment horizontal="center" vertical="center"/>
    </xf>
    <xf numFmtId="167" fontId="9" fillId="0" borderId="19" xfId="0" applyNumberFormat="1" applyFont="1" applyBorder="1" applyAlignment="1">
      <alignment horizontal="center" vertical="center"/>
    </xf>
    <xf numFmtId="167" fontId="9" fillId="0" borderId="20" xfId="0" applyNumberFormat="1" applyFont="1" applyBorder="1" applyAlignment="1">
      <alignment horizontal="center" vertical="center"/>
    </xf>
    <xf numFmtId="167" fontId="9" fillId="0" borderId="46" xfId="0" applyNumberFormat="1" applyFont="1" applyBorder="1" applyAlignment="1">
      <alignment horizontal="center" vertical="center"/>
    </xf>
    <xf numFmtId="167" fontId="9" fillId="0" borderId="48" xfId="0" applyNumberFormat="1" applyFont="1" applyBorder="1" applyAlignment="1">
      <alignment horizontal="center" vertical="center"/>
    </xf>
    <xf numFmtId="167" fontId="9" fillId="0" borderId="65" xfId="0" applyNumberFormat="1" applyFont="1" applyBorder="1" applyAlignment="1">
      <alignment horizontal="center" vertical="center"/>
    </xf>
    <xf numFmtId="167" fontId="9" fillId="0" borderId="66" xfId="0" applyNumberFormat="1" applyFont="1" applyBorder="1" applyAlignment="1">
      <alignment horizontal="center" vertical="center"/>
    </xf>
    <xf numFmtId="167" fontId="9" fillId="0" borderId="14" xfId="0" applyNumberFormat="1" applyFont="1" applyBorder="1" applyAlignment="1">
      <alignment horizontal="center" vertical="center"/>
    </xf>
    <xf numFmtId="167" fontId="9" fillId="0" borderId="68" xfId="0" applyNumberFormat="1" applyFont="1" applyBorder="1" applyAlignment="1">
      <alignment horizontal="center" vertical="center"/>
    </xf>
    <xf numFmtId="164" fontId="16" fillId="0" borderId="57" xfId="1" applyFont="1" applyBorder="1" applyAlignment="1">
      <alignment horizontal="center"/>
    </xf>
    <xf numFmtId="2" fontId="13" fillId="0" borderId="60" xfId="0" applyNumberFormat="1" applyFont="1" applyBorder="1"/>
    <xf numFmtId="168" fontId="7" fillId="0" borderId="22" xfId="2" applyNumberFormat="1" applyFont="1" applyBorder="1" applyAlignment="1">
      <alignment horizontal="center" vertical="center" wrapText="1"/>
    </xf>
    <xf numFmtId="0" fontId="11" fillId="5" borderId="53" xfId="0" applyFont="1" applyFill="1" applyBorder="1" applyAlignment="1">
      <alignment horizontal="center" vertical="center" wrapText="1"/>
    </xf>
    <xf numFmtId="0" fontId="11" fillId="5" borderId="55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 wrapText="1"/>
    </xf>
    <xf numFmtId="0" fontId="15" fillId="5" borderId="34" xfId="0" applyFont="1" applyFill="1" applyBorder="1" applyAlignment="1">
      <alignment horizontal="center" vertical="center" wrapText="1"/>
    </xf>
    <xf numFmtId="0" fontId="15" fillId="5" borderId="35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0" fontId="11" fillId="5" borderId="65" xfId="0" applyFont="1" applyFill="1" applyBorder="1" applyAlignment="1">
      <alignment horizontal="center" vertical="center" wrapText="1"/>
    </xf>
    <xf numFmtId="0" fontId="11" fillId="5" borderId="63" xfId="0" applyFont="1" applyFill="1" applyBorder="1" applyAlignment="1">
      <alignment horizontal="center" vertical="center" wrapText="1"/>
    </xf>
    <xf numFmtId="0" fontId="11" fillId="5" borderId="64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1" fillId="5" borderId="35" xfId="0" applyFont="1" applyFill="1" applyBorder="1" applyAlignment="1">
      <alignment horizontal="center" vertical="center" wrapText="1"/>
    </xf>
    <xf numFmtId="0" fontId="11" fillId="5" borderId="67" xfId="0" applyFont="1" applyFill="1" applyBorder="1" applyAlignment="1">
      <alignment horizontal="center" vertical="center" wrapText="1"/>
    </xf>
    <xf numFmtId="0" fontId="11" fillId="5" borderId="59" xfId="0" applyFont="1" applyFill="1" applyBorder="1" applyAlignment="1">
      <alignment horizontal="center" vertical="center" wrapText="1"/>
    </xf>
    <xf numFmtId="0" fontId="11" fillId="5" borderId="54" xfId="0" applyFont="1" applyFill="1" applyBorder="1" applyAlignment="1">
      <alignment horizontal="center" vertical="center" wrapText="1"/>
    </xf>
    <xf numFmtId="0" fontId="11" fillId="5" borderId="56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6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F8245-CC1F-4B19-B6EA-8CD51AF2D638}">
  <dimension ref="B2:AJ19"/>
  <sheetViews>
    <sheetView tabSelected="1" topLeftCell="L6" zoomScale="80" zoomScaleNormal="80" workbookViewId="0">
      <selection activeCell="W14" sqref="W14"/>
    </sheetView>
  </sheetViews>
  <sheetFormatPr defaultColWidth="11.42578125" defaultRowHeight="15"/>
  <cols>
    <col min="1" max="1" width="2.42578125" customWidth="1"/>
    <col min="2" max="2" width="9" customWidth="1"/>
    <col min="3" max="3" width="24.7109375" customWidth="1"/>
    <col min="4" max="4" width="10.85546875" bestFit="1" customWidth="1"/>
    <col min="5" max="5" width="11" customWidth="1"/>
    <col min="6" max="6" width="9.5703125" customWidth="1"/>
    <col min="7" max="7" width="13.7109375" customWidth="1"/>
    <col min="8" max="8" width="13.85546875" customWidth="1"/>
    <col min="9" max="9" width="10.85546875" customWidth="1"/>
    <col min="10" max="10" width="11.5703125" customWidth="1"/>
    <col min="11" max="11" width="13.85546875" customWidth="1"/>
    <col min="12" max="12" width="10" customWidth="1"/>
    <col min="13" max="13" width="11" customWidth="1"/>
    <col min="14" max="14" width="14.140625" customWidth="1"/>
    <col min="15" max="15" width="10.28515625" customWidth="1"/>
    <col min="16" max="16" width="11.28515625" customWidth="1"/>
    <col min="17" max="17" width="14" customWidth="1"/>
    <col min="18" max="18" width="5.140625" customWidth="1"/>
    <col min="19" max="19" width="10.85546875" customWidth="1"/>
    <col min="20" max="20" width="15.7109375" customWidth="1"/>
    <col min="21" max="21" width="16" customWidth="1"/>
    <col min="22" max="22" width="7.5703125" customWidth="1"/>
    <col min="23" max="23" width="15.140625" customWidth="1"/>
    <col min="24" max="24" width="15.42578125" customWidth="1"/>
    <col min="25" max="25" width="4.28515625" customWidth="1"/>
    <col min="26" max="26" width="13.28515625" customWidth="1"/>
    <col min="27" max="27" width="11.7109375" customWidth="1"/>
    <col min="28" max="28" width="9.85546875" customWidth="1"/>
    <col min="29" max="29" width="11.5703125" customWidth="1"/>
    <col min="30" max="30" width="9.7109375" customWidth="1"/>
    <col min="31" max="31" width="4.140625" customWidth="1"/>
    <col min="32" max="32" width="13.85546875" customWidth="1"/>
    <col min="33" max="33" width="8.7109375" customWidth="1"/>
    <col min="36" max="36" width="17.28515625" customWidth="1"/>
    <col min="37" max="37" width="8.7109375" customWidth="1"/>
  </cols>
  <sheetData>
    <row r="2" spans="2:36" ht="23.25">
      <c r="B2" s="120" t="s">
        <v>0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0"/>
      <c r="P2" s="10"/>
      <c r="Q2" s="10"/>
      <c r="R2" s="10"/>
    </row>
    <row r="3" spans="2:36" ht="34.5" customHeight="1">
      <c r="B3" s="119" t="s">
        <v>1</v>
      </c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9"/>
      <c r="P3" s="9"/>
      <c r="Q3" s="9"/>
      <c r="R3" s="9"/>
    </row>
    <row r="5" spans="2:36" ht="18.75" customHeight="1">
      <c r="B5" s="1"/>
      <c r="C5" s="129" t="s">
        <v>2</v>
      </c>
      <c r="D5" s="130"/>
      <c r="E5" s="130"/>
      <c r="F5" s="121" t="s">
        <v>3</v>
      </c>
      <c r="G5" s="122"/>
      <c r="H5" s="123"/>
      <c r="I5" s="95" t="s">
        <v>4</v>
      </c>
      <c r="J5" s="95"/>
      <c r="K5" s="95"/>
      <c r="L5" s="125" t="s">
        <v>5</v>
      </c>
      <c r="M5" s="126"/>
      <c r="N5" s="126"/>
      <c r="O5" s="97" t="s">
        <v>6</v>
      </c>
      <c r="P5" s="98"/>
      <c r="Q5" s="99"/>
      <c r="R5" s="60"/>
      <c r="S5" s="102" t="s">
        <v>7</v>
      </c>
      <c r="T5" s="103"/>
      <c r="U5" s="104"/>
      <c r="V5" s="15"/>
      <c r="W5" s="89" t="s">
        <v>7</v>
      </c>
      <c r="X5" s="115" t="s">
        <v>8</v>
      </c>
      <c r="Y5" s="24"/>
      <c r="Z5" s="105" t="s">
        <v>9</v>
      </c>
      <c r="AA5" s="107" t="s">
        <v>10</v>
      </c>
      <c r="AB5" s="108"/>
      <c r="AC5" s="111" t="s">
        <v>11</v>
      </c>
      <c r="AD5" s="112"/>
      <c r="AE5" s="21"/>
      <c r="AF5" s="117" t="s">
        <v>12</v>
      </c>
      <c r="AG5" s="22"/>
      <c r="AH5" s="91" t="s">
        <v>13</v>
      </c>
      <c r="AI5" s="92"/>
      <c r="AJ5" s="93"/>
    </row>
    <row r="6" spans="2:36" ht="56.25" customHeight="1">
      <c r="B6" s="2" t="s">
        <v>14</v>
      </c>
      <c r="C6" s="2" t="s">
        <v>15</v>
      </c>
      <c r="D6" s="4" t="s">
        <v>16</v>
      </c>
      <c r="E6" s="6" t="s">
        <v>17</v>
      </c>
      <c r="F6" s="19" t="s">
        <v>18</v>
      </c>
      <c r="G6" s="8" t="s">
        <v>19</v>
      </c>
      <c r="H6" s="20" t="s">
        <v>20</v>
      </c>
      <c r="I6" s="33" t="s">
        <v>18</v>
      </c>
      <c r="J6" s="4" t="s">
        <v>19</v>
      </c>
      <c r="K6" s="6" t="s">
        <v>20</v>
      </c>
      <c r="L6" s="19" t="s">
        <v>18</v>
      </c>
      <c r="M6" s="8" t="s">
        <v>19</v>
      </c>
      <c r="N6" s="18" t="s">
        <v>20</v>
      </c>
      <c r="O6" s="53" t="s">
        <v>18</v>
      </c>
      <c r="P6" s="8" t="s">
        <v>19</v>
      </c>
      <c r="Q6" s="54" t="s">
        <v>20</v>
      </c>
      <c r="R6" s="16"/>
      <c r="S6" s="39" t="s">
        <v>18</v>
      </c>
      <c r="T6" s="40" t="s">
        <v>19</v>
      </c>
      <c r="U6" s="41" t="s">
        <v>21</v>
      </c>
      <c r="V6" s="16"/>
      <c r="W6" s="90"/>
      <c r="X6" s="116"/>
      <c r="Y6" s="24"/>
      <c r="Z6" s="106"/>
      <c r="AA6" s="109"/>
      <c r="AB6" s="110"/>
      <c r="AC6" s="113"/>
      <c r="AD6" s="114"/>
      <c r="AE6" s="21"/>
      <c r="AF6" s="118"/>
      <c r="AG6" s="22"/>
      <c r="AH6" s="65" t="s">
        <v>18</v>
      </c>
      <c r="AI6" s="11" t="s">
        <v>19</v>
      </c>
      <c r="AJ6" s="12" t="s">
        <v>21</v>
      </c>
    </row>
    <row r="7" spans="2:36" ht="30.75">
      <c r="B7" s="2">
        <v>1</v>
      </c>
      <c r="C7" s="3" t="s">
        <v>22</v>
      </c>
      <c r="D7" s="2">
        <v>1162</v>
      </c>
      <c r="E7" s="7">
        <v>1</v>
      </c>
      <c r="F7" s="30">
        <v>442</v>
      </c>
      <c r="G7" s="2">
        <f>+ROUND((F7*0.19),2)</f>
        <v>83.98</v>
      </c>
      <c r="H7" s="88">
        <f>+ROUND((F7+G7)*$D$7,2)</f>
        <v>611188.76</v>
      </c>
      <c r="I7" s="34">
        <v>350</v>
      </c>
      <c r="J7" s="29">
        <f>+ROUND((I7*0.19),2)</f>
        <v>66.5</v>
      </c>
      <c r="K7" s="36">
        <f>+ROUND((I7+J7)*$D$7,2)</f>
        <v>483973</v>
      </c>
      <c r="L7" s="35">
        <v>400</v>
      </c>
      <c r="M7" s="29">
        <f>+ROUND((L7*0.19),2)</f>
        <v>76</v>
      </c>
      <c r="N7" s="36">
        <f>+ROUND((L7+M7)*$D$7,2)</f>
        <v>553112</v>
      </c>
      <c r="O7" s="55">
        <v>280</v>
      </c>
      <c r="P7" s="29">
        <f>+ROUND((O7*0.19),2)</f>
        <v>53.2</v>
      </c>
      <c r="Q7" s="56">
        <f>(O7+P7)*$D$7</f>
        <v>387178.39999999997</v>
      </c>
      <c r="R7" s="49"/>
      <c r="S7" s="42">
        <f>AVERAGE(F7,I7,L7,O7)</f>
        <v>368</v>
      </c>
      <c r="T7" s="38">
        <f>AVERAGE(G7,J7,M7,P7)</f>
        <v>69.92</v>
      </c>
      <c r="U7" s="43">
        <f>AVERAGE(H7,K7,N7,Q7)</f>
        <v>508863.04</v>
      </c>
      <c r="V7" s="17"/>
      <c r="W7" s="76">
        <f>AVERAGE(H7,K7,N7,Q7)</f>
        <v>508863.04</v>
      </c>
      <c r="X7" s="70">
        <f>+GEOMEAN(H7,K7,N7,Q7)</f>
        <v>501683.91112656728</v>
      </c>
      <c r="Z7" s="82">
        <f>STDEV(H7,K7,N7,Q7)</f>
        <v>96359.031989276642</v>
      </c>
      <c r="AA7" s="78">
        <f>+(Z7/W7)*100</f>
        <v>18.93614281541781</v>
      </c>
      <c r="AB7" s="79">
        <f>100-AA7</f>
        <v>81.06385718458219</v>
      </c>
      <c r="AC7" s="84">
        <f>(Z7/X7)*100</f>
        <v>19.207120230922996</v>
      </c>
      <c r="AD7" s="70">
        <f>100-AC7</f>
        <v>80.792879769077004</v>
      </c>
      <c r="AE7" s="21"/>
      <c r="AF7" s="74">
        <f>ROUND(AVERAGE(F7,I7,L7,O7),4)</f>
        <v>368</v>
      </c>
      <c r="AG7" s="73"/>
      <c r="AH7" s="13">
        <f>AVERAGE(I7,L7)</f>
        <v>375</v>
      </c>
      <c r="AI7" s="23">
        <f>+ROUND((AH7*0.19),0)</f>
        <v>71</v>
      </c>
      <c r="AJ7" s="14">
        <f>(AH7+AI7)*$D$7</f>
        <v>518252</v>
      </c>
    </row>
    <row r="8" spans="2:36" ht="60.75">
      <c r="B8" s="2">
        <v>2</v>
      </c>
      <c r="C8" s="3" t="s">
        <v>23</v>
      </c>
      <c r="D8" s="2">
        <v>6050</v>
      </c>
      <c r="E8" s="7" t="s">
        <v>24</v>
      </c>
      <c r="F8" s="30">
        <v>642</v>
      </c>
      <c r="G8" s="2">
        <f>+ROUND((F8*0.19),2)</f>
        <v>121.98</v>
      </c>
      <c r="H8" s="88">
        <f>+ROUND((F8+G8)*$D$8,2)</f>
        <v>4622079</v>
      </c>
      <c r="I8" s="34">
        <v>890</v>
      </c>
      <c r="J8" s="29">
        <f>+ROUND((I8*0.19),2)</f>
        <v>169.1</v>
      </c>
      <c r="K8" s="36">
        <f>+ROUND((I8+J8)*$D$8,2)</f>
        <v>6407555</v>
      </c>
      <c r="L8" s="35">
        <v>1050</v>
      </c>
      <c r="M8" s="29">
        <f>+ROUND((L8*0.19),2)</f>
        <v>199.5</v>
      </c>
      <c r="N8" s="36">
        <f>+ROUND((L8+M8)*$D$8,2)</f>
        <v>7559475</v>
      </c>
      <c r="O8" s="55">
        <v>1000</v>
      </c>
      <c r="P8" s="29">
        <f>+ROUND((O8*0.19),2)</f>
        <v>190</v>
      </c>
      <c r="Q8" s="56">
        <f>+ROUND((O8+P8)*$D$8,2)</f>
        <v>7199500</v>
      </c>
      <c r="R8" s="49"/>
      <c r="S8" s="42">
        <f>AVERAGE(F8,I8,L8,O8)</f>
        <v>895.5</v>
      </c>
      <c r="T8" s="38">
        <f>AVERAGE(G8,J8,M8,P8)</f>
        <v>170.14499999999998</v>
      </c>
      <c r="U8" s="43">
        <f>AVERAGE(H8,K8,N8,Q8)</f>
        <v>6447152.25</v>
      </c>
      <c r="V8" s="17"/>
      <c r="W8" s="76">
        <f>AVERAGE(H8,K8,N8,Q8)</f>
        <v>6447152.25</v>
      </c>
      <c r="X8" s="70">
        <f>+GEOMEAN(H8,K8,N8,Q8)</f>
        <v>6336229.7970073847</v>
      </c>
      <c r="Z8" s="82">
        <f>STDEV(H8,K8,N8,Q8)</f>
        <v>1308402.2504783904</v>
      </c>
      <c r="AA8" s="78">
        <f>+(Z8/W8)*100</f>
        <v>20.29426636354664</v>
      </c>
      <c r="AB8" s="79">
        <f t="shared" ref="AB8:AB11" si="0">100-AA8</f>
        <v>79.70573363645336</v>
      </c>
      <c r="AC8" s="84">
        <f>(Z8/X8)*100</f>
        <v>20.649539117036941</v>
      </c>
      <c r="AD8" s="70">
        <f t="shared" ref="AD8:AD11" si="1">100-AC8</f>
        <v>79.350460882963063</v>
      </c>
      <c r="AE8" s="75"/>
      <c r="AF8" s="74">
        <f t="shared" ref="AF8:AF11" si="2">ROUND(AVERAGE(F8,I8,L8,O8),4)</f>
        <v>895.5</v>
      </c>
      <c r="AG8" s="73"/>
      <c r="AH8" s="13">
        <f>AVERAGE(I8,O8)</f>
        <v>945</v>
      </c>
      <c r="AI8" s="23">
        <f t="shared" ref="AI8:AI11" si="3">+ROUND((AH8*0.19),0)</f>
        <v>180</v>
      </c>
      <c r="AJ8" s="14">
        <f>(Q8+K8)/2</f>
        <v>6803527.5</v>
      </c>
    </row>
    <row r="9" spans="2:36" ht="91.5">
      <c r="B9" s="2">
        <v>3</v>
      </c>
      <c r="C9" s="3" t="s">
        <v>25</v>
      </c>
      <c r="D9" s="2">
        <v>20</v>
      </c>
      <c r="E9" s="7" t="s">
        <v>24</v>
      </c>
      <c r="F9" s="30">
        <v>93077</v>
      </c>
      <c r="G9" s="2">
        <f>+ROUND((F9*0.19),2)</f>
        <v>17684.63</v>
      </c>
      <c r="H9" s="31">
        <f>+ROUND((F9+G9)*$D$9,2)</f>
        <v>2215232.6</v>
      </c>
      <c r="I9" s="34">
        <v>22000</v>
      </c>
      <c r="J9" s="29">
        <f>+ROUND((I9*0.19),2)</f>
        <v>4180</v>
      </c>
      <c r="K9" s="36">
        <f>+ROUND((I9+J9)*$D$9,2)</f>
        <v>523600</v>
      </c>
      <c r="L9" s="35">
        <v>35000</v>
      </c>
      <c r="M9" s="29">
        <f>+ROUND((L9*0.19),2)</f>
        <v>6650</v>
      </c>
      <c r="N9" s="36">
        <f>+ROUND((L9+M9)*$D$9,2)</f>
        <v>833000</v>
      </c>
      <c r="O9" s="55">
        <v>16988</v>
      </c>
      <c r="P9" s="29">
        <f>+ROUND((O9*0.19),2)</f>
        <v>3227.72</v>
      </c>
      <c r="Q9" s="56">
        <f>(O9+P9)*$D$9</f>
        <v>404314.4</v>
      </c>
      <c r="R9" s="49"/>
      <c r="S9" s="42">
        <f>AVERAGE(F9,I9,L9,O9)</f>
        <v>41766.25</v>
      </c>
      <c r="T9" s="38">
        <f>AVERAGE(G9,J9,M9,P9)</f>
        <v>7935.5875000000005</v>
      </c>
      <c r="U9" s="43">
        <f>AVERAGE(H9,K9,N9,Q9)</f>
        <v>994036.75</v>
      </c>
      <c r="V9" s="17"/>
      <c r="W9" s="76">
        <f>AVERAGE(H9,K9,N9,Q9)</f>
        <v>994036.75</v>
      </c>
      <c r="X9" s="70">
        <f>+GEOMEAN(H9,K9,N9,Q9)</f>
        <v>790579.94947870693</v>
      </c>
      <c r="Z9" s="82">
        <f>STDEV(H9,K9,N9,Q9)</f>
        <v>833933.51548507169</v>
      </c>
      <c r="AA9" s="78">
        <f>+(Z9/W9)*100</f>
        <v>83.893630239030074</v>
      </c>
      <c r="AB9" s="79">
        <f t="shared" si="0"/>
        <v>16.106369760969926</v>
      </c>
      <c r="AC9" s="84">
        <f>(Z9/X9)*100</f>
        <v>105.48376745893331</v>
      </c>
      <c r="AD9" s="70">
        <f t="shared" si="1"/>
        <v>-5.4837674589333147</v>
      </c>
      <c r="AE9" s="21"/>
      <c r="AF9" s="74">
        <f t="shared" si="2"/>
        <v>41766.25</v>
      </c>
      <c r="AG9" s="73"/>
      <c r="AH9" s="13">
        <f>AVERAGE(I9,L9)</f>
        <v>28500</v>
      </c>
      <c r="AI9" s="23">
        <f t="shared" si="3"/>
        <v>5415</v>
      </c>
      <c r="AJ9" s="14">
        <f>(AH9+AI9)*$D$9</f>
        <v>678300</v>
      </c>
    </row>
    <row r="10" spans="2:36" ht="106.5">
      <c r="B10" s="2">
        <v>4</v>
      </c>
      <c r="C10" s="3" t="s">
        <v>26</v>
      </c>
      <c r="D10" s="2">
        <v>11</v>
      </c>
      <c r="E10" s="7" t="s">
        <v>24</v>
      </c>
      <c r="F10" s="30">
        <v>110000</v>
      </c>
      <c r="G10" s="2">
        <f>+ROUND((F10*0.19),2)</f>
        <v>20900</v>
      </c>
      <c r="H10" s="31">
        <f>+ROUND((F10+G10)*$D$10,2)</f>
        <v>1439900</v>
      </c>
      <c r="I10" s="34">
        <v>26000</v>
      </c>
      <c r="J10" s="29">
        <f>+ROUND((I10*0.19),2)</f>
        <v>4940</v>
      </c>
      <c r="K10" s="36">
        <f>+ROUND((I10+J10)*$D$10,2)</f>
        <v>340340</v>
      </c>
      <c r="L10" s="35">
        <v>50000</v>
      </c>
      <c r="M10" s="29">
        <f>+ROUND((L10*0.19),2)</f>
        <v>9500</v>
      </c>
      <c r="N10" s="36">
        <f>(L10+M10)*$D$10</f>
        <v>654500</v>
      </c>
      <c r="O10" s="55">
        <v>16988</v>
      </c>
      <c r="P10" s="29">
        <f>+ROUND((O10*0.19),2)</f>
        <v>3227.72</v>
      </c>
      <c r="Q10" s="56">
        <f>(O10+P10)*$D$10</f>
        <v>222372.92</v>
      </c>
      <c r="R10" s="49"/>
      <c r="S10" s="42">
        <f>AVERAGE(F10,I10,L10,O10)</f>
        <v>50747</v>
      </c>
      <c r="T10" s="38">
        <f>AVERAGE(G10,J10,M10,P10)</f>
        <v>9641.93</v>
      </c>
      <c r="U10" s="43">
        <f>AVERAGE(H10,K10,N10,Q10)</f>
        <v>664278.23</v>
      </c>
      <c r="V10" s="17"/>
      <c r="W10" s="76">
        <f>AVERAGE(H10,K10,N10,Q10)</f>
        <v>664278.23</v>
      </c>
      <c r="X10" s="70">
        <f>+GEOMEAN(H10,K10,N10,Q10)</f>
        <v>516784.19023249857</v>
      </c>
      <c r="Z10" s="82">
        <f>STDEV(H10,K10,N10,Q10)</f>
        <v>548300.71546600375</v>
      </c>
      <c r="AA10" s="78">
        <f>+(Z10/W10)*100</f>
        <v>82.540822610731013</v>
      </c>
      <c r="AB10" s="79">
        <f t="shared" si="0"/>
        <v>17.459177389268987</v>
      </c>
      <c r="AC10" s="84">
        <f>(Z10/X10)*100</f>
        <v>106.09858541131571</v>
      </c>
      <c r="AD10" s="70">
        <f t="shared" si="1"/>
        <v>-6.0985854113157103</v>
      </c>
      <c r="AE10" s="21"/>
      <c r="AF10" s="74">
        <f t="shared" si="2"/>
        <v>50747</v>
      </c>
      <c r="AG10" s="73"/>
      <c r="AH10" s="13">
        <f>AVERAGE(I10,L10)</f>
        <v>38000</v>
      </c>
      <c r="AI10" s="23">
        <f t="shared" si="3"/>
        <v>7220</v>
      </c>
      <c r="AJ10" s="14">
        <f>(AH10+AI10)*$D$10</f>
        <v>497420</v>
      </c>
    </row>
    <row r="11" spans="2:36" ht="138.75" customHeight="1">
      <c r="B11" s="2">
        <v>5</v>
      </c>
      <c r="C11" s="3" t="s">
        <v>27</v>
      </c>
      <c r="D11" s="2">
        <v>14</v>
      </c>
      <c r="E11" s="7" t="s">
        <v>24</v>
      </c>
      <c r="F11" s="32">
        <v>160000</v>
      </c>
      <c r="G11" s="27">
        <f>+ROUND((F11*0.19),2)</f>
        <v>30400</v>
      </c>
      <c r="H11" s="31">
        <f>+ROUND((F11+G11)*$D$11,2)</f>
        <v>2665600</v>
      </c>
      <c r="I11" s="34">
        <v>78000</v>
      </c>
      <c r="J11" s="29">
        <f>+ROUND((I11*0.19),2)</f>
        <v>14820</v>
      </c>
      <c r="K11" s="36">
        <f>+ROUND((I11+J11)*$D$11,2)</f>
        <v>1299480</v>
      </c>
      <c r="L11" s="35">
        <v>75000</v>
      </c>
      <c r="M11" s="29">
        <f>+ROUND((L11*0.19),2)</f>
        <v>14250</v>
      </c>
      <c r="N11" s="36">
        <f>(L11+M11)*$D$11</f>
        <v>1249500</v>
      </c>
      <c r="O11" s="57">
        <v>33975</v>
      </c>
      <c r="P11" s="58">
        <f>+ROUND((O11*0.19),2)</f>
        <v>6455.25</v>
      </c>
      <c r="Q11" s="59">
        <f>(O11+P11)*$D$11</f>
        <v>566023.5</v>
      </c>
      <c r="R11" s="49"/>
      <c r="S11" s="44">
        <f>AVERAGE(F11,I11,L11,O11)</f>
        <v>86743.75</v>
      </c>
      <c r="T11" s="45">
        <f>AVERAGE(G11,J11,M11,P11)</f>
        <v>16481.3125</v>
      </c>
      <c r="U11" s="46">
        <f>AVERAGE(H11,K11,N11,Q11)</f>
        <v>1445150.875</v>
      </c>
      <c r="V11" s="17"/>
      <c r="W11" s="77">
        <f>AVERAGE(H11,K11,N11,Q11)</f>
        <v>1445150.875</v>
      </c>
      <c r="X11" s="71">
        <f>+GEOMEAN(H11,K11,N11,Q11)</f>
        <v>1251076.3823194136</v>
      </c>
      <c r="Z11" s="83">
        <f>STDEV(H11,K11,N11,Q11)</f>
        <v>879746.22797319375</v>
      </c>
      <c r="AA11" s="80">
        <f>+(Z11/W11)*100</f>
        <v>60.875735758260795</v>
      </c>
      <c r="AB11" s="81">
        <f t="shared" si="0"/>
        <v>39.124264241739205</v>
      </c>
      <c r="AC11" s="85">
        <f>(Z11/X11)*100</f>
        <v>70.319146009470813</v>
      </c>
      <c r="AD11" s="71">
        <f t="shared" si="1"/>
        <v>29.680853990529187</v>
      </c>
      <c r="AE11" s="21"/>
      <c r="AF11" s="74">
        <f t="shared" si="2"/>
        <v>86743.75</v>
      </c>
      <c r="AG11" s="73"/>
      <c r="AH11" s="66">
        <f>AVERAGE(I11,L11)</f>
        <v>76500</v>
      </c>
      <c r="AI11" s="67">
        <f t="shared" si="3"/>
        <v>14535</v>
      </c>
      <c r="AJ11" s="68">
        <f>(AH11+AI11)*$D$11</f>
        <v>1274490</v>
      </c>
    </row>
    <row r="12" spans="2:36" ht="18.75">
      <c r="D12" s="5"/>
      <c r="E12" s="5"/>
      <c r="F12" s="124" t="s">
        <v>28</v>
      </c>
      <c r="G12" s="96"/>
      <c r="H12" s="26">
        <f>SUM(H7:H11)</f>
        <v>11554000.359999999</v>
      </c>
      <c r="I12" s="96" t="s">
        <v>28</v>
      </c>
      <c r="J12" s="96"/>
      <c r="K12" s="28">
        <f>SUM(K7:K11)</f>
        <v>9054948</v>
      </c>
      <c r="L12" s="127" t="s">
        <v>28</v>
      </c>
      <c r="M12" s="128"/>
      <c r="N12" s="28">
        <f>SUM(N7:N11)</f>
        <v>10849587</v>
      </c>
      <c r="O12" s="100" t="s">
        <v>28</v>
      </c>
      <c r="P12" s="101"/>
      <c r="Q12" s="52">
        <f>SUM(Q7:Q11)</f>
        <v>8779389.2200000007</v>
      </c>
      <c r="R12" s="50"/>
      <c r="S12" s="25"/>
      <c r="T12" s="37"/>
      <c r="U12" s="47">
        <f>SUM(U7:U11)</f>
        <v>10059481.145</v>
      </c>
      <c r="V12" s="25"/>
      <c r="W12" s="69">
        <f>SUM(W7:W11)</f>
        <v>10059481.145</v>
      </c>
      <c r="X12" s="69">
        <f>SUM(X7:X11)</f>
        <v>9396354.2301645707</v>
      </c>
      <c r="AA12" s="86" t="s">
        <v>29</v>
      </c>
      <c r="AB12" s="87">
        <f>+AVERAGE(AB7:AB11)</f>
        <v>46.691880442602731</v>
      </c>
      <c r="AC12" s="72" t="s">
        <v>29</v>
      </c>
      <c r="AD12" s="87">
        <f>AVERAGE(AD7:AD11)</f>
        <v>35.648368354464054</v>
      </c>
      <c r="AE12" s="62"/>
      <c r="AF12" s="63"/>
      <c r="AG12" s="62"/>
      <c r="AH12" s="94" t="s">
        <v>28</v>
      </c>
      <c r="AI12" s="94"/>
      <c r="AJ12" s="64">
        <f>SUM(AJ7:AJ11)</f>
        <v>9771989.5</v>
      </c>
    </row>
    <row r="13" spans="2:36">
      <c r="R13" s="51"/>
      <c r="U13" s="51"/>
    </row>
    <row r="14" spans="2:36"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51"/>
      <c r="U14" s="48"/>
    </row>
    <row r="15" spans="2:36">
      <c r="H15" s="61"/>
      <c r="I15" s="61"/>
      <c r="J15" s="61"/>
      <c r="K15" s="61"/>
      <c r="L15" s="61"/>
      <c r="M15" s="61"/>
      <c r="N15" s="61"/>
      <c r="O15" s="61"/>
      <c r="P15" s="61"/>
      <c r="Q15" s="61"/>
      <c r="U15" s="51"/>
    </row>
    <row r="16" spans="2:36">
      <c r="D16" s="2">
        <v>7308</v>
      </c>
      <c r="E16" s="7" t="s">
        <v>24</v>
      </c>
      <c r="F16" s="30">
        <v>642</v>
      </c>
      <c r="G16" s="2">
        <f>+ROUND((F16*0.19),2)</f>
        <v>121.98</v>
      </c>
      <c r="H16" s="31">
        <f>(F16+G16)*$D$16</f>
        <v>5583165.8399999999</v>
      </c>
      <c r="I16" s="34">
        <v>890</v>
      </c>
      <c r="J16" s="29">
        <f>+ROUND((I16*0.19),2)</f>
        <v>169.1</v>
      </c>
      <c r="K16" s="31">
        <f>(I16+J16)*$D$16</f>
        <v>7739902.7999999989</v>
      </c>
      <c r="L16" s="35">
        <v>1050</v>
      </c>
      <c r="M16" s="29">
        <f>+ROUND((L16*0.19),2)</f>
        <v>199.5</v>
      </c>
      <c r="N16" s="31">
        <f>(L16+M16)*$D$16</f>
        <v>9131346</v>
      </c>
      <c r="O16" s="55">
        <v>1000</v>
      </c>
      <c r="P16" s="29">
        <f>+ROUND((O16*0.19),2)</f>
        <v>190</v>
      </c>
      <c r="Q16" s="31">
        <f>(O16+P16)*$D$16</f>
        <v>8696520</v>
      </c>
    </row>
    <row r="17" spans="8:18"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51"/>
    </row>
    <row r="18" spans="8:18">
      <c r="H18" s="61"/>
      <c r="I18" s="61"/>
      <c r="J18" s="61"/>
      <c r="K18" s="61"/>
      <c r="L18" s="61"/>
      <c r="M18" s="61"/>
      <c r="N18" s="61"/>
      <c r="O18" s="61"/>
      <c r="P18" s="61"/>
      <c r="Q18" s="61"/>
    </row>
    <row r="19" spans="8:18">
      <c r="H19" s="61"/>
      <c r="I19" s="61"/>
      <c r="J19" s="61"/>
      <c r="K19" s="61"/>
      <c r="L19" s="61"/>
      <c r="M19" s="61"/>
      <c r="N19" s="61"/>
      <c r="O19" s="61"/>
      <c r="P19" s="61"/>
      <c r="Q19" s="61"/>
    </row>
  </sheetData>
  <mergeCells count="20">
    <mergeCell ref="B3:N3"/>
    <mergeCell ref="B2:N2"/>
    <mergeCell ref="F5:H5"/>
    <mergeCell ref="F12:G12"/>
    <mergeCell ref="L5:N5"/>
    <mergeCell ref="L12:M12"/>
    <mergeCell ref="C5:E5"/>
    <mergeCell ref="W5:W6"/>
    <mergeCell ref="AH5:AJ5"/>
    <mergeCell ref="AH12:AI12"/>
    <mergeCell ref="I5:K5"/>
    <mergeCell ref="I12:J12"/>
    <mergeCell ref="O5:Q5"/>
    <mergeCell ref="O12:P12"/>
    <mergeCell ref="S5:U5"/>
    <mergeCell ref="Z5:Z6"/>
    <mergeCell ref="AA5:AB6"/>
    <mergeCell ref="AC5:AD6"/>
    <mergeCell ref="X5:X6"/>
    <mergeCell ref="AF5:AF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on xmlns="1587c923-d24e-4b7f-8933-f5058e6cacbc" xsi:nil="true"/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6" ma:contentTypeDescription="Crear nuevo documento." ma:contentTypeScope="" ma:versionID="70263da69a196918cfbe2e42807ffe40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b918bb679df0ee32c9a08af6c034f636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Descripc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Descripcion" ma:index="22" nillable="true" ma:displayName="Descripcion" ma:description="." ma:format="Dropdown" ma:internalName="Descripcion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F3E77C-0F89-422D-B08B-AE0BF9FD825E}"/>
</file>

<file path=customXml/itemProps2.xml><?xml version="1.0" encoding="utf-8"?>
<ds:datastoreItem xmlns:ds="http://schemas.openxmlformats.org/officeDocument/2006/customXml" ds:itemID="{65DF48FC-4549-433F-8032-6D98D14EEA3B}"/>
</file>

<file path=customXml/itemProps3.xml><?xml version="1.0" encoding="utf-8"?>
<ds:datastoreItem xmlns:ds="http://schemas.openxmlformats.org/officeDocument/2006/customXml" ds:itemID="{A4DFC19C-B352-4266-81AF-AB8A528995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Vicente Sarmiento Ruiz</dc:creator>
  <cp:keywords/>
  <dc:description/>
  <cp:lastModifiedBy>Jose Vicente Sarmiento Ruiz</cp:lastModifiedBy>
  <cp:revision/>
  <dcterms:created xsi:type="dcterms:W3CDTF">2020-02-10T14:39:29Z</dcterms:created>
  <dcterms:modified xsi:type="dcterms:W3CDTF">2026-07-23T22:41:46Z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0x01010023B22F409C910A458457A7A4C0746848</vt:lpwstr>
  </property>
  <property fmtid="{D5CDD505-2E9C-101B-9397-08002B2CF9AE}" pid="3" name="MediaServiceImageTags">
    <vt:lpwstr/>
  </property>
</Properties>
</file>