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D:\SGC 2026\CONTRATOS 2026\MANTENIMIENTO FACHADAS\DOCUMENTOS PARA PUBLICAR\"/>
    </mc:Choice>
  </mc:AlternateContent>
  <xr:revisionPtr revIDLastSave="0" documentId="8_{CBB2815B-6D13-40E3-854B-24B42381C734}" xr6:coauthVersionLast="47" xr6:coauthVersionMax="47" xr10:uidLastSave="{00000000-0000-0000-0000-000000000000}"/>
  <bookViews>
    <workbookView xWindow="-120" yWindow="-120" windowWidth="29040" windowHeight="15720" xr2:uid="{00000000-000D-0000-FFFF-FFFF00000000}"/>
  </bookViews>
  <sheets>
    <sheet name="ppto oficial " sheetId="1" r:id="rId1"/>
    <sheet name="APUS" sheetId="8" r:id="rId2"/>
    <sheet name="INSUMOS" sheetId="7" r:id="rId3"/>
    <sheet name="CUADRILLAS" sheetId="6" r:id="rId4"/>
  </sheets>
  <definedNames>
    <definedName name="_Fill">#REF!</definedName>
    <definedName name="_xlnm._FilterDatabase" localSheetId="2" hidden="1">INSUMOS!$B$2:$E$309</definedName>
    <definedName name="_Key1">#REF!</definedName>
    <definedName name="_Order1">255</definedName>
    <definedName name="_Sort">#REF!</definedName>
    <definedName name="A">#REF!</definedName>
    <definedName name="AAA" localSheetId="2">#REF!*#REF!</definedName>
    <definedName name="AAA">#REF!*#REF!</definedName>
    <definedName name="AC">#REF!</definedName>
    <definedName name="Acero">#N/A</definedName>
    <definedName name="afg">#REF!</definedName>
    <definedName name="Agregados">#N/A</definedName>
    <definedName name="aiu">#REF!</definedName>
    <definedName name="andres">#REF!</definedName>
    <definedName name="Apar.Sanitarios">#N/A</definedName>
    <definedName name="_xlnm.Print_Area" localSheetId="1">APUS!$A$1:$K$1010</definedName>
    <definedName name="ASDF">#REF!</definedName>
    <definedName name="BJHFYFYJLJK" localSheetId="2">#REF!*#REF!</definedName>
    <definedName name="BJHFYFYJLJK">#REF!*#REF!</definedName>
    <definedName name="BVCBCVBCVB" localSheetId="2">#REF!*#REF!</definedName>
    <definedName name="BVCBCVBCVB">#REF!*#REF!</definedName>
    <definedName name="cantidad">#REF!</definedName>
    <definedName name="Carp.Aluminio">#N/A</definedName>
    <definedName name="Carp.Metalica">#N/A</definedName>
    <definedName name="CategoryArea">#REF!,#REF!,#REF!,#REF!,#REF!</definedName>
    <definedName name="cdes">#REF!</definedName>
    <definedName name="Cerrajeria">#N/A</definedName>
    <definedName name="citem">#REF!</definedName>
    <definedName name="Ciudades">#REF!</definedName>
    <definedName name="Combustible">#N/A</definedName>
    <definedName name="CONCEPTO">#REF!</definedName>
    <definedName name="Concretos">#N/A</definedName>
    <definedName name="CORTEACTIVIDAD">#REF!</definedName>
    <definedName name="CORTEITEM">#REF!</definedName>
    <definedName name="CORTEUNIDAD">#REF!</definedName>
    <definedName name="Cuadrillas">#N/A</definedName>
    <definedName name="Cubierta">#N/A</definedName>
    <definedName name="cuni">#REF!</definedName>
    <definedName name="DDSDSDSDSD">#REF!</definedName>
    <definedName name="Drywall">#N/A</definedName>
    <definedName name="DSDS" localSheetId="2">#REF!*#REF!</definedName>
    <definedName name="DSDS">#REF!*#REF!</definedName>
    <definedName name="DWQ">#REF!</definedName>
    <definedName name="Ensayo" localSheetId="1">{"AURES1",#N/A,TRUE,"GENERAL";"AURES2",#N/A,TRUE,"GENERAL";"AURES3",#N/A,TRUE,"GENERAL";"AURES4",#N/A,TRUE,"GENERAL";"AURES5",#N/A,TRUE,"GENERAL";"AURES6",#N/A,TRUE,"GENERAL";"AURES7",#N/A,TRUE,"GENERAL"}</definedName>
    <definedName name="Ensayo" localSheetId="3">{"AURES1",#N/A,TRUE,"GENERAL";"AURES2",#N/A,TRUE,"GENERAL";"AURES3",#N/A,TRUE,"GENERAL";"AURES4",#N/A,TRUE,"GENERAL";"AURES5",#N/A,TRUE,"GENERAL";"AURES6",#N/A,TRUE,"GENERAL";"AURES7",#N/A,TRUE,"GENERAL"}</definedName>
    <definedName name="Ensayo" localSheetId="2">{"AURES1",#N/A,TRUE,"GENERAL";"AURES2",#N/A,TRUE,"GENERAL";"AURES3",#N/A,TRUE,"GENERAL";"AURES4",#N/A,TRUE,"GENERAL";"AURES5",#N/A,TRUE,"GENERAL";"AURES6",#N/A,TRUE,"GENERAL";"AURES7",#N/A,TRUE,"GENERAL"}</definedName>
    <definedName name="Ensayo">{"AURES1",#N/A,TRUE,"GENERAL";"AURES2",#N/A,TRUE,"GENERAL";"AURES3",#N/A,TRUE,"GENERAL";"AURES4",#N/A,TRUE,"GENERAL";"AURES5",#N/A,TRUE,"GENERAL";"AURES6",#N/A,TRUE,"GENERAL";"AURES7",#N/A,TRUE,"GENERAL"}</definedName>
    <definedName name="EQU">#REF!</definedName>
    <definedName name="EQUIPOS">#REF!</definedName>
    <definedName name="EquiposEspeciales">#N/A</definedName>
    <definedName name="ESTACION">#REF!</definedName>
    <definedName name="FERNANDO">#N/A</definedName>
    <definedName name="Ferreteria">#N/A</definedName>
    <definedName name="Formaletas">#N/A</definedName>
    <definedName name="Geosinteticos">#N/A</definedName>
    <definedName name="HGF">#REF!</definedName>
    <definedName name="HGGG">#REF!</definedName>
    <definedName name="HJFGHFBM" localSheetId="2">#REF!*#REF!</definedName>
    <definedName name="HJFGHFBM">#REF!*#REF!</definedName>
    <definedName name="Impermeabilizantes">#N/A</definedName>
    <definedName name="Inst.Electricas">#N/A</definedName>
    <definedName name="Inst.Hidrosanitarias">#N/A</definedName>
    <definedName name="INSTALACIONES">#N/A</definedName>
    <definedName name="INSTALACIONESELÉCTRICAS">#N/A</definedName>
    <definedName name="INSUMOS">INSUMOS!$A$6:$D$893</definedName>
    <definedName name="ITEM">#REF!</definedName>
    <definedName name="ITEMS">#REF!</definedName>
    <definedName name="JJKJKJK">#REF!</definedName>
    <definedName name="JKJKJKJK">#REF!</definedName>
    <definedName name="KUOIUIUIYIO" localSheetId="2">#REF!*#REF!</definedName>
    <definedName name="KUOIUIUIYIO">#REF!*#REF!</definedName>
    <definedName name="Ladrillos">#N/A</definedName>
    <definedName name="Maderas">#N/A</definedName>
    <definedName name="MAN">#REF!</definedName>
    <definedName name="MANO_DE_OBRA">#REF!</definedName>
    <definedName name="MARIO">#REF!</definedName>
    <definedName name="MAT">#REF!</definedName>
    <definedName name="MATERIALES">#REF!</definedName>
    <definedName name="memoria">#REF!</definedName>
    <definedName name="NKJGHNM" localSheetId="2">#REF!*#REF!</definedName>
    <definedName name="NKJGHNM">#REF!*#REF!</definedName>
    <definedName name="o">#REF!</definedName>
    <definedName name="OJO">#REF!</definedName>
    <definedName name="P_1">#REF!</definedName>
    <definedName name="Pinturas">#N/A</definedName>
    <definedName name="PISO">#N/A</definedName>
    <definedName name="PisosEnchapes">#N/A</definedName>
    <definedName name="PPTO">#REF!</definedName>
    <definedName name="PreciosMP">#REF!</definedName>
    <definedName name="Prefabricados">#N/A</definedName>
    <definedName name="PresuDerivGuatDef" localSheetId="1">{"via1",#N/A,TRUE,"general";"via2",#N/A,TRUE,"general";"via3",#N/A,TRUE,"general"}</definedName>
    <definedName name="PresuDerivGuatDef" localSheetId="3">{"via1",#N/A,TRUE,"general";"via2",#N/A,TRUE,"general";"via3",#N/A,TRUE,"general"}</definedName>
    <definedName name="PresuDerivGuatDef" localSheetId="2">{"via1",#N/A,TRUE,"general";"via2",#N/A,TRUE,"general";"via3",#N/A,TRUE,"general"}</definedName>
    <definedName name="PresuDerivGuatDef">{"via1",#N/A,TRUE,"general";"via2",#N/A,TRUE,"general";"via3",#N/A,TRUE,"general"}</definedName>
    <definedName name="PresuPresaDef" localSheetId="1">{"via1",#N/A,TRUE,"general";"via2",#N/A,TRUE,"general";"via3",#N/A,TRUE,"general"}</definedName>
    <definedName name="PresuPresaDef" localSheetId="3">{"via1",#N/A,TRUE,"general";"via2",#N/A,TRUE,"general";"via3",#N/A,TRUE,"general"}</definedName>
    <definedName name="PresuPresaDef" localSheetId="2">{"via1",#N/A,TRUE,"general";"via2",#N/A,TRUE,"general";"via3",#N/A,TRUE,"general"}</definedName>
    <definedName name="PresuPresaDef">{"via1",#N/A,TRUE,"general";"via2",#N/A,TRUE,"general";"via3",#N/A,TRUE,"general"}</definedName>
    <definedName name="SHARED_FORMULA_0" localSheetId="2">#REF!*#REF!</definedName>
    <definedName name="SHARED_FORMULA_0">#REF!*#REF!</definedName>
    <definedName name="SHARED_FORMULA_1" localSheetId="2">#REF!*#REF!</definedName>
    <definedName name="SHARED_FORMULA_1">#REF!*#REF!</definedName>
    <definedName name="SHARED_FORMULA_2" localSheetId="2">#REF!*#REF!</definedName>
    <definedName name="SHARED_FORMULA_2">#REF!*#REF!</definedName>
    <definedName name="SHARED_FORMULA_3" localSheetId="2">#REF!*#REF!</definedName>
    <definedName name="SHARED_FORMULA_3">#REF!*#REF!</definedName>
    <definedName name="SHARED_FORMULA_4" localSheetId="2">#REF!*#REF!</definedName>
    <definedName name="SHARED_FORMULA_4">#REF!*#REF!</definedName>
    <definedName name="SHARED_FORMULA_5" localSheetId="2">#REF!*#REF!</definedName>
    <definedName name="SHARED_FORMULA_5">#REF!*#REF!</definedName>
    <definedName name="TRA">#REF!</definedName>
    <definedName name="TRANSPORTE">#REF!</definedName>
    <definedName name="VAN">#REF!</definedName>
    <definedName name="VariosAnalisis">#N/A</definedName>
    <definedName name="wrn.formu." localSheetId="1">{"VIA1",#N/A,TRUE,"formul";"VIA2",#N/A,TRUE,"formul";"VIA3",#N/A,TRUE,"formul"}</definedName>
    <definedName name="wrn.formu." localSheetId="3">{"VIA1",#N/A,TRUE,"formul";"VIA2",#N/A,TRUE,"formul";"VIA3",#N/A,TRUE,"formul"}</definedName>
    <definedName name="wrn.formu." localSheetId="2">{"VIA1",#N/A,TRUE,"formul";"VIA2",#N/A,TRUE,"formul";"VIA3",#N/A,TRUE,"formul"}</definedName>
    <definedName name="wrn.formu.">{"VIA1",#N/A,TRUE,"formul";"VIA2",#N/A,TRUE,"formul";"VIA3",#N/A,TRUE,"formul"}</definedName>
    <definedName name="wrn.general." localSheetId="1">{#N/A,#N/A,TRUE,"0001";#N/A,#N/A,TRUE,"0002";#N/A,#N/A,TRUE,"0003";#N/A,#N/A,TRUE,"0004";#N/A,#N/A,TRUE,"0005";#N/A,#N/A,TRUE,"0006";#N/A,#N/A,TRUE,"0007";#N/A,#N/A,TRUE,"0008";#N/A,#N/A,TRUE,"0009";#N/A,#N/A,TRUE,"0010"}</definedName>
    <definedName name="wrn.general." localSheetId="3">{#N/A,#N/A,TRUE,"0001";#N/A,#N/A,TRUE,"0002";#N/A,#N/A,TRUE,"0003";#N/A,#N/A,TRUE,"0004";#N/A,#N/A,TRUE,"0005";#N/A,#N/A,TRUE,"0006";#N/A,#N/A,TRUE,"0007";#N/A,#N/A,TRUE,"0008";#N/A,#N/A,TRUE,"0009";#N/A,#N/A,TRUE,"0010"}</definedName>
    <definedName name="wrn.general." localSheetId="2">{#N/A,#N/A,TRUE,"0001";#N/A,#N/A,TRUE,"0002";#N/A,#N/A,TRUE,"0003";#N/A,#N/A,TRUE,"0004";#N/A,#N/A,TRUE,"0005";#N/A,#N/A,TRUE,"0006";#N/A,#N/A,TRUE,"0007";#N/A,#N/A,TRUE,"0008";#N/A,#N/A,TRUE,"0009";#N/A,#N/A,TRUE,"0010"}</definedName>
    <definedName name="wrn.general.">{#N/A,#N/A,TRUE,"0001";#N/A,#N/A,TRUE,"0002";#N/A,#N/A,TRUE,"0003";#N/A,#N/A,TRUE,"0004";#N/A,#N/A,TRUE,"0005";#N/A,#N/A,TRUE,"0006";#N/A,#N/A,TRUE,"0007";#N/A,#N/A,TRUE,"0008";#N/A,#N/A,TRUE,"0009";#N/A,#N/A,TRUE,"0010"}</definedName>
    <definedName name="wrn.IMPRESION." localSheetId="1">{"IMPRESION",#N/A,FALSE,"pequeño"}</definedName>
    <definedName name="wrn.IMPRESION." localSheetId="3">{"IMPRESION",#N/A,FALSE,"pequeño"}</definedName>
    <definedName name="wrn.IMPRESION." localSheetId="2">{"IMPRESION",#N/A,FALSE,"pequeño"}</definedName>
    <definedName name="wrn.IMPRESION.">{"IMPRESION",#N/A,FALSE,"pequeño"}</definedName>
    <definedName name="wrn.OBRASC." localSheetId="1">{"AURES1",#N/A,FALSE,"GENERAL";"AURES2",#N/A,FALSE,"GENERAL";"AURES3",#N/A,FALSE,"GENERAL";"AURES4",#N/A,FALSE,"GENERAL";"AURES5",#N/A,FALSE,"GENERAL";"AURES6",#N/A,FALSE,"GENERAL";"AURES7",#N/A,FALSE,"GENERAL"}</definedName>
    <definedName name="wrn.OBRASC." localSheetId="3">{"AURES1",#N/A,FALSE,"GENERAL";"AURES2",#N/A,FALSE,"GENERAL";"AURES3",#N/A,FALSE,"GENERAL";"AURES4",#N/A,FALSE,"GENERAL";"AURES5",#N/A,FALSE,"GENERAL";"AURES6",#N/A,FALSE,"GENERAL";"AURES7",#N/A,FALSE,"GENERAL"}</definedName>
    <definedName name="wrn.OBRASC." localSheetId="2">{"AURES1",#N/A,FALSE,"GENERAL";"AURES2",#N/A,FALSE,"GENERAL";"AURES3",#N/A,FALSE,"GENERAL";"AURES4",#N/A,FALSE,"GENERAL";"AURES5",#N/A,FALSE,"GENERAL";"AURES6",#N/A,FALSE,"GENERAL";"AURES7",#N/A,FALSE,"GENERAL"}</definedName>
    <definedName name="wrn.OBRASC.">{"AURES1",#N/A,FALSE,"GENERAL";"AURES2",#N/A,FALSE,"GENERAL";"AURES3",#N/A,FALSE,"GENERAL";"AURES4",#N/A,FALSE,"GENERAL";"AURES5",#N/A,FALSE,"GENERAL";"AURES6",#N/A,FALSE,"GENERAL";"AURES7",#N/A,FALSE,"GENERAL"}</definedName>
    <definedName name="wrn.via." localSheetId="1">{"via1",#N/A,TRUE,"general";"via2",#N/A,TRUE,"general";"via3",#N/A,TRUE,"general"}</definedName>
    <definedName name="wrn.via." localSheetId="3">{"via1",#N/A,TRUE,"general";"via2",#N/A,TRUE,"general";"via3",#N/A,TRUE,"general"}</definedName>
    <definedName name="wrn.via." localSheetId="2">{"via1",#N/A,TRUE,"general";"via2",#N/A,TRUE,"general";"via3",#N/A,TRUE,"general"}</definedName>
    <definedName name="wrn.via.">{"via1",#N/A,TRUE,"general";"via2",#N/A,TRUE,"general";"via3",#N/A,TRUE,"general"}</definedName>
    <definedName name="XA">#REF!</definedName>
    <definedName name="XCXCXCXCXCXC">#REF!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 i="1" l="1"/>
  <c r="I19" i="6"/>
  <c r="I18" i="6"/>
  <c r="G18" i="6"/>
  <c r="I17" i="6"/>
  <c r="G15" i="6"/>
  <c r="G14" i="6"/>
  <c r="G13" i="6"/>
  <c r="J12" i="6"/>
  <c r="G12" i="6"/>
  <c r="J11" i="6"/>
  <c r="G11" i="6"/>
  <c r="G10" i="6"/>
  <c r="G9" i="6"/>
  <c r="G8" i="6"/>
  <c r="P7" i="6"/>
  <c r="O7" i="6"/>
  <c r="N7" i="6"/>
  <c r="M7" i="6"/>
  <c r="G7" i="6"/>
  <c r="P6" i="6"/>
  <c r="O6" i="6"/>
  <c r="N6" i="6"/>
  <c r="M6" i="6"/>
  <c r="P5" i="6"/>
  <c r="O5" i="6"/>
  <c r="N5" i="6"/>
  <c r="M5" i="6"/>
  <c r="J5" i="6"/>
  <c r="G5" i="6"/>
  <c r="P4" i="6"/>
  <c r="O4" i="6"/>
  <c r="N4" i="6"/>
  <c r="M4" i="6"/>
  <c r="G4" i="6"/>
  <c r="P3" i="6"/>
  <c r="O3" i="6"/>
  <c r="N3" i="6"/>
  <c r="M3" i="6"/>
  <c r="E310" i="7"/>
  <c r="J308" i="7"/>
  <c r="E308" i="7"/>
  <c r="E304" i="7"/>
  <c r="H290" i="7"/>
  <c r="F290" i="7"/>
  <c r="E290" i="7"/>
  <c r="E287" i="7"/>
  <c r="E280" i="7"/>
  <c r="F279" i="7"/>
  <c r="E279" i="7"/>
  <c r="E278" i="7"/>
  <c r="E277" i="7"/>
  <c r="F276" i="7"/>
  <c r="E276" i="7"/>
  <c r="E275" i="7"/>
  <c r="E269" i="7"/>
  <c r="E268" i="7"/>
  <c r="E267" i="7"/>
  <c r="E266" i="7"/>
  <c r="F265" i="7"/>
  <c r="E265" i="7"/>
  <c r="E259" i="7"/>
  <c r="E252" i="7"/>
  <c r="E251" i="7"/>
  <c r="E248" i="7"/>
  <c r="E246" i="7"/>
  <c r="E245" i="7"/>
  <c r="J243" i="7"/>
  <c r="E243" i="7"/>
  <c r="E242" i="7"/>
  <c r="E240" i="7"/>
  <c r="E239" i="7"/>
  <c r="E237" i="7"/>
  <c r="J235" i="7"/>
  <c r="E235" i="7"/>
  <c r="E234" i="7"/>
  <c r="E231" i="7"/>
  <c r="E228" i="7"/>
  <c r="E226" i="7"/>
  <c r="E221" i="7"/>
  <c r="E214" i="7"/>
  <c r="E211" i="7"/>
  <c r="E205" i="7"/>
  <c r="E201" i="7"/>
  <c r="E200" i="7"/>
  <c r="E186" i="7"/>
  <c r="E182" i="7"/>
  <c r="E179" i="7"/>
  <c r="E166" i="7"/>
  <c r="E148" i="7"/>
  <c r="E147" i="7"/>
  <c r="E140" i="7"/>
  <c r="E139" i="7"/>
  <c r="E138" i="7"/>
  <c r="E133" i="7"/>
  <c r="E132" i="7"/>
  <c r="E131" i="7"/>
  <c r="E130" i="7"/>
  <c r="E129" i="7"/>
  <c r="E124" i="7"/>
  <c r="E121" i="7"/>
  <c r="A119" i="7"/>
  <c r="E116" i="7"/>
  <c r="E115" i="7"/>
  <c r="E112" i="7"/>
  <c r="E105" i="7"/>
  <c r="E103" i="7"/>
  <c r="E97" i="7"/>
  <c r="E87" i="7"/>
  <c r="E85" i="7"/>
  <c r="E84" i="7"/>
  <c r="E67" i="7"/>
  <c r="E47" i="7"/>
  <c r="E43" i="7"/>
  <c r="E40" i="7"/>
  <c r="N29" i="7"/>
  <c r="N27" i="7"/>
  <c r="E26" i="7"/>
  <c r="E20" i="7"/>
  <c r="AD19" i="7"/>
  <c r="AC19" i="7"/>
  <c r="AD18" i="7"/>
  <c r="AC18" i="7"/>
  <c r="N18" i="7"/>
  <c r="AD17" i="7"/>
  <c r="AC17" i="7"/>
  <c r="AD16" i="7"/>
  <c r="AC16" i="7"/>
  <c r="E16" i="7"/>
  <c r="AD15" i="7"/>
  <c r="AC15" i="7"/>
  <c r="N15" i="7"/>
  <c r="AD14" i="7"/>
  <c r="AC14" i="7"/>
  <c r="AC13" i="7"/>
  <c r="N13" i="7"/>
  <c r="AD12" i="7"/>
  <c r="AC12" i="7"/>
  <c r="AD11" i="7"/>
  <c r="AC11" i="7"/>
  <c r="AD10" i="7"/>
  <c r="AC10" i="7"/>
  <c r="N10" i="7"/>
  <c r="AC9" i="7"/>
  <c r="AC8" i="7"/>
  <c r="AC7" i="7"/>
  <c r="E7" i="7"/>
  <c r="AC6" i="7"/>
  <c r="AC5" i="7"/>
  <c r="N5" i="7"/>
  <c r="AC4" i="7"/>
  <c r="F3" i="7"/>
  <c r="E3" i="7"/>
  <c r="F37" i="1"/>
  <c r="F36" i="1"/>
  <c r="F35" i="1"/>
  <c r="F34" i="1"/>
  <c r="F33" i="1"/>
  <c r="F32" i="1"/>
  <c r="F31" i="1"/>
  <c r="F30" i="1"/>
  <c r="F28" i="1"/>
  <c r="F27" i="1"/>
  <c r="F26" i="1"/>
  <c r="F25" i="1"/>
  <c r="F23" i="1"/>
  <c r="F22" i="1"/>
  <c r="F21" i="1"/>
  <c r="F20" i="1"/>
  <c r="F19" i="1"/>
  <c r="F18" i="1"/>
  <c r="F17" i="1"/>
  <c r="F16" i="1"/>
  <c r="F15" i="1"/>
  <c r="F14" i="1"/>
  <c r="F13" i="1"/>
  <c r="F11" i="1"/>
  <c r="F10" i="1"/>
  <c r="F8" i="1"/>
  <c r="F7" i="1"/>
  <c r="J1006" i="8"/>
  <c r="J1004" i="8"/>
  <c r="J1002" i="8"/>
  <c r="J1001" i="8"/>
  <c r="J997" i="8"/>
  <c r="H997" i="8"/>
  <c r="G997" i="8"/>
  <c r="C997" i="8"/>
  <c r="J994" i="8"/>
  <c r="J993" i="8"/>
  <c r="J992" i="8"/>
  <c r="J991" i="8"/>
  <c r="J986" i="8"/>
  <c r="J979" i="8"/>
  <c r="J974" i="8"/>
  <c r="H974" i="8"/>
  <c r="J970" i="8"/>
  <c r="D970" i="8"/>
  <c r="J958" i="8"/>
  <c r="J956" i="8"/>
  <c r="J954" i="8"/>
  <c r="J953" i="8"/>
  <c r="J949" i="8"/>
  <c r="H949" i="8"/>
  <c r="G949" i="8"/>
  <c r="C949" i="8"/>
  <c r="J946" i="8"/>
  <c r="J945" i="8"/>
  <c r="J944" i="8"/>
  <c r="J943" i="8"/>
  <c r="J941" i="8"/>
  <c r="H941" i="8"/>
  <c r="G941" i="8"/>
  <c r="C941" i="8"/>
  <c r="J938" i="8"/>
  <c r="J935" i="8"/>
  <c r="J934" i="8"/>
  <c r="H934" i="8"/>
  <c r="G934" i="8"/>
  <c r="C934" i="8"/>
  <c r="J931" i="8"/>
  <c r="J928" i="8"/>
  <c r="I928" i="8"/>
  <c r="H928" i="8"/>
  <c r="G928" i="8"/>
  <c r="C928" i="8"/>
  <c r="J927" i="8"/>
  <c r="H927" i="8"/>
  <c r="J923" i="8"/>
  <c r="D923" i="8"/>
  <c r="J911" i="8"/>
  <c r="J909" i="8"/>
  <c r="J907" i="8"/>
  <c r="J906" i="8"/>
  <c r="J902" i="8"/>
  <c r="H902" i="8"/>
  <c r="G902" i="8"/>
  <c r="C902" i="8"/>
  <c r="J899" i="8"/>
  <c r="J898" i="8"/>
  <c r="J897" i="8"/>
  <c r="J896" i="8"/>
  <c r="J894" i="8"/>
  <c r="H894" i="8"/>
  <c r="G894" i="8"/>
  <c r="C894" i="8"/>
  <c r="J891" i="8"/>
  <c r="J887" i="8"/>
  <c r="J884" i="8"/>
  <c r="J881" i="8"/>
  <c r="H881" i="8"/>
  <c r="G881" i="8"/>
  <c r="C881" i="8"/>
  <c r="H880" i="8"/>
  <c r="J876" i="8"/>
  <c r="D876" i="8"/>
  <c r="J864" i="8"/>
  <c r="J862" i="8"/>
  <c r="J860" i="8"/>
  <c r="J859" i="8"/>
  <c r="J855" i="8"/>
  <c r="H855" i="8"/>
  <c r="G855" i="8"/>
  <c r="C855" i="8"/>
  <c r="J852" i="8"/>
  <c r="J851" i="8"/>
  <c r="J850" i="8"/>
  <c r="J849" i="8"/>
  <c r="J847" i="8"/>
  <c r="H847" i="8"/>
  <c r="G847" i="8"/>
  <c r="C847" i="8"/>
  <c r="J844" i="8"/>
  <c r="J841" i="8"/>
  <c r="J840" i="8"/>
  <c r="H840" i="8"/>
  <c r="G840" i="8"/>
  <c r="C840" i="8"/>
  <c r="J837" i="8"/>
  <c r="J834" i="8"/>
  <c r="I834" i="8"/>
  <c r="H834" i="8"/>
  <c r="G834" i="8"/>
  <c r="C834" i="8"/>
  <c r="H833" i="8"/>
  <c r="J829" i="8"/>
  <c r="D829" i="8"/>
  <c r="J817" i="8"/>
  <c r="J815" i="8"/>
  <c r="J813" i="8"/>
  <c r="J812" i="8"/>
  <c r="J808" i="8"/>
  <c r="H808" i="8"/>
  <c r="G808" i="8"/>
  <c r="C808" i="8"/>
  <c r="J805" i="8"/>
  <c r="J804" i="8"/>
  <c r="J803" i="8"/>
  <c r="J802" i="8"/>
  <c r="J800" i="8"/>
  <c r="H800" i="8"/>
  <c r="G800" i="8"/>
  <c r="C800" i="8"/>
  <c r="J797" i="8"/>
  <c r="J793" i="8"/>
  <c r="H793" i="8"/>
  <c r="G793" i="8"/>
  <c r="C793" i="8"/>
  <c r="J790" i="8"/>
  <c r="J787" i="8"/>
  <c r="I787" i="8"/>
  <c r="H787" i="8"/>
  <c r="G787" i="8"/>
  <c r="C787" i="8"/>
  <c r="J786" i="8"/>
  <c r="H786" i="8"/>
  <c r="G786" i="8"/>
  <c r="C786" i="8"/>
  <c r="H785" i="8"/>
  <c r="J781" i="8"/>
  <c r="D781" i="8"/>
  <c r="J769" i="8"/>
  <c r="J767" i="8"/>
  <c r="J765" i="8"/>
  <c r="J764" i="8"/>
  <c r="J760" i="8"/>
  <c r="H760" i="8"/>
  <c r="G760" i="8"/>
  <c r="C760" i="8"/>
  <c r="J757" i="8"/>
  <c r="J756" i="8"/>
  <c r="J755" i="8"/>
  <c r="J754" i="8"/>
  <c r="J752" i="8"/>
  <c r="I752" i="8"/>
  <c r="H752" i="8"/>
  <c r="G752" i="8"/>
  <c r="C752" i="8"/>
  <c r="J749" i="8"/>
  <c r="J745" i="8"/>
  <c r="H745" i="8"/>
  <c r="G745" i="8"/>
  <c r="J742" i="8"/>
  <c r="J739" i="8"/>
  <c r="I739" i="8"/>
  <c r="H739" i="8"/>
  <c r="G739" i="8"/>
  <c r="C739" i="8"/>
  <c r="J738" i="8"/>
  <c r="I738" i="8"/>
  <c r="H738" i="8"/>
  <c r="G738" i="8"/>
  <c r="C738" i="8"/>
  <c r="H737" i="8"/>
  <c r="J733" i="8"/>
  <c r="D733" i="8"/>
  <c r="J721" i="8"/>
  <c r="J719" i="8"/>
  <c r="J717" i="8"/>
  <c r="J716" i="8"/>
  <c r="J712" i="8"/>
  <c r="H712" i="8"/>
  <c r="G712" i="8"/>
  <c r="C712" i="8"/>
  <c r="J709" i="8"/>
  <c r="J708" i="8"/>
  <c r="J707" i="8"/>
  <c r="J706" i="8"/>
  <c r="J702" i="8"/>
  <c r="J696" i="8"/>
  <c r="H693" i="8"/>
  <c r="J689" i="8"/>
  <c r="D689" i="8"/>
  <c r="J677" i="8"/>
  <c r="J675" i="8"/>
  <c r="J673" i="8"/>
  <c r="J672" i="8"/>
  <c r="J668" i="8"/>
  <c r="H668" i="8"/>
  <c r="G668" i="8"/>
  <c r="C668" i="8"/>
  <c r="J665" i="8"/>
  <c r="J664" i="8"/>
  <c r="J663" i="8"/>
  <c r="J662" i="8"/>
  <c r="J660" i="8"/>
  <c r="H660" i="8"/>
  <c r="G660" i="8"/>
  <c r="C660" i="8"/>
  <c r="J657" i="8"/>
  <c r="J653" i="8"/>
  <c r="H653" i="8"/>
  <c r="G653" i="8"/>
  <c r="C653" i="8"/>
  <c r="J650" i="8"/>
  <c r="J647" i="8"/>
  <c r="H647" i="8"/>
  <c r="G647" i="8"/>
  <c r="C647" i="8"/>
  <c r="J646" i="8"/>
  <c r="H646" i="8"/>
  <c r="J642" i="8"/>
  <c r="D642" i="8"/>
  <c r="J630" i="8"/>
  <c r="J628" i="8"/>
  <c r="J626" i="8"/>
  <c r="J625" i="8"/>
  <c r="J621" i="8"/>
  <c r="H621" i="8"/>
  <c r="G621" i="8"/>
  <c r="C621" i="8"/>
  <c r="J618" i="8"/>
  <c r="J617" i="8"/>
  <c r="J616" i="8"/>
  <c r="J615" i="8"/>
  <c r="J613" i="8"/>
  <c r="H613" i="8"/>
  <c r="G613" i="8"/>
  <c r="C613" i="8"/>
  <c r="J610" i="8"/>
  <c r="J607" i="8"/>
  <c r="J606" i="8"/>
  <c r="H606" i="8"/>
  <c r="G606" i="8"/>
  <c r="C606" i="8"/>
  <c r="J603" i="8"/>
  <c r="J600" i="8"/>
  <c r="I600" i="8"/>
  <c r="H600" i="8"/>
  <c r="G600" i="8"/>
  <c r="C600" i="8"/>
  <c r="H599" i="8"/>
  <c r="J595" i="8"/>
  <c r="D595" i="8"/>
  <c r="J584" i="8"/>
  <c r="J582" i="8"/>
  <c r="J580" i="8"/>
  <c r="J579" i="8"/>
  <c r="J575" i="8"/>
  <c r="H575" i="8"/>
  <c r="G575" i="8"/>
  <c r="C575" i="8"/>
  <c r="J572" i="8"/>
  <c r="J571" i="8"/>
  <c r="J570" i="8"/>
  <c r="J569" i="8"/>
  <c r="J567" i="8"/>
  <c r="H567" i="8"/>
  <c r="G567" i="8"/>
  <c r="C567" i="8"/>
  <c r="J564" i="8"/>
  <c r="J561" i="8"/>
  <c r="J560" i="8"/>
  <c r="H560" i="8"/>
  <c r="G560" i="8"/>
  <c r="C560" i="8"/>
  <c r="J557" i="8"/>
  <c r="J554" i="8"/>
  <c r="I554" i="8"/>
  <c r="H554" i="8"/>
  <c r="G554" i="8"/>
  <c r="C554" i="8"/>
  <c r="H553" i="8"/>
  <c r="J549" i="8"/>
  <c r="D549" i="8"/>
  <c r="J538" i="8"/>
  <c r="J536" i="8"/>
  <c r="J534" i="8"/>
  <c r="J533" i="8"/>
  <c r="J529" i="8"/>
  <c r="H529" i="8"/>
  <c r="G529" i="8"/>
  <c r="C529" i="8"/>
  <c r="J526" i="8"/>
  <c r="J525" i="8"/>
  <c r="J524" i="8"/>
  <c r="J523" i="8"/>
  <c r="J521" i="8"/>
  <c r="H521" i="8"/>
  <c r="G521" i="8"/>
  <c r="C521" i="8"/>
  <c r="J518" i="8"/>
  <c r="J514" i="8"/>
  <c r="J511" i="8"/>
  <c r="J508" i="8"/>
  <c r="I508" i="8"/>
  <c r="H508" i="8"/>
  <c r="G508" i="8"/>
  <c r="C508" i="8"/>
  <c r="H507" i="8"/>
  <c r="J503" i="8"/>
  <c r="D503" i="8"/>
  <c r="J491" i="8"/>
  <c r="J489" i="8"/>
  <c r="J487" i="8"/>
  <c r="J486" i="8"/>
  <c r="J482" i="8"/>
  <c r="H482" i="8"/>
  <c r="G482" i="8"/>
  <c r="C482" i="8"/>
  <c r="J479" i="8"/>
  <c r="J478" i="8"/>
  <c r="J477" i="8"/>
  <c r="J476" i="8"/>
  <c r="J474" i="8"/>
  <c r="I474" i="8"/>
  <c r="H474" i="8"/>
  <c r="G474" i="8"/>
  <c r="C474" i="8"/>
  <c r="J471" i="8"/>
  <c r="J467" i="8"/>
  <c r="J464" i="8"/>
  <c r="J461" i="8"/>
  <c r="I461" i="8"/>
  <c r="H461" i="8"/>
  <c r="G461" i="8"/>
  <c r="C461" i="8"/>
  <c r="H460" i="8"/>
  <c r="J456" i="8"/>
  <c r="D456" i="8"/>
  <c r="J444" i="8"/>
  <c r="J442" i="8"/>
  <c r="J440" i="8"/>
  <c r="J439" i="8"/>
  <c r="J435" i="8"/>
  <c r="H435" i="8"/>
  <c r="G435" i="8"/>
  <c r="C435" i="8"/>
  <c r="J432" i="8"/>
  <c r="J431" i="8"/>
  <c r="J430" i="8"/>
  <c r="J429" i="8"/>
  <c r="J419" i="8"/>
  <c r="J416" i="8"/>
  <c r="I416" i="8"/>
  <c r="H416" i="8"/>
  <c r="G416" i="8"/>
  <c r="C416" i="8"/>
  <c r="H415" i="8"/>
  <c r="J411" i="8"/>
  <c r="D411" i="8"/>
  <c r="J397" i="8"/>
  <c r="J395" i="8"/>
  <c r="J393" i="8"/>
  <c r="J392" i="8"/>
  <c r="J388" i="8"/>
  <c r="H388" i="8"/>
  <c r="G388" i="8"/>
  <c r="C388" i="8"/>
  <c r="J385" i="8"/>
  <c r="J384" i="8"/>
  <c r="J383" i="8"/>
  <c r="J382" i="8"/>
  <c r="J380" i="8"/>
  <c r="J377" i="8"/>
  <c r="J373" i="8"/>
  <c r="J370" i="8"/>
  <c r="J366" i="8"/>
  <c r="I366" i="8"/>
  <c r="H366" i="8"/>
  <c r="G366" i="8"/>
  <c r="C366" i="8"/>
  <c r="H365" i="8"/>
  <c r="J361" i="8"/>
  <c r="D361" i="8"/>
  <c r="J347" i="8"/>
  <c r="J345" i="8"/>
  <c r="J343" i="8"/>
  <c r="J342" i="8"/>
  <c r="J338" i="8"/>
  <c r="H338" i="8"/>
  <c r="G338" i="8"/>
  <c r="C338" i="8"/>
  <c r="J335" i="8"/>
  <c r="J334" i="8"/>
  <c r="J333" i="8"/>
  <c r="J332" i="8"/>
  <c r="J330" i="8"/>
  <c r="J327" i="8"/>
  <c r="J323" i="8"/>
  <c r="H323" i="8"/>
  <c r="G323" i="8"/>
  <c r="C323" i="8"/>
  <c r="J320" i="8"/>
  <c r="J317" i="8"/>
  <c r="H317" i="8"/>
  <c r="G317" i="8"/>
  <c r="C317" i="8"/>
  <c r="J316" i="8"/>
  <c r="I316" i="8"/>
  <c r="H316" i="8"/>
  <c r="G316" i="8"/>
  <c r="C316" i="8"/>
  <c r="H315" i="8"/>
  <c r="J311" i="8"/>
  <c r="D311" i="8"/>
  <c r="J297" i="8"/>
  <c r="J295" i="8"/>
  <c r="J293" i="8"/>
  <c r="J292" i="8"/>
  <c r="J288" i="8"/>
  <c r="H288" i="8"/>
  <c r="G288" i="8"/>
  <c r="C288" i="8"/>
  <c r="J285" i="8"/>
  <c r="J284" i="8"/>
  <c r="J283" i="8"/>
  <c r="J282" i="8"/>
  <c r="J280" i="8"/>
  <c r="J277" i="8"/>
  <c r="J273" i="8"/>
  <c r="H273" i="8"/>
  <c r="G273" i="8"/>
  <c r="C273" i="8"/>
  <c r="J270" i="8"/>
  <c r="J267" i="8"/>
  <c r="I267" i="8"/>
  <c r="H267" i="8"/>
  <c r="G267" i="8"/>
  <c r="C267" i="8"/>
  <c r="J266" i="8"/>
  <c r="H266" i="8"/>
  <c r="G266" i="8"/>
  <c r="C266" i="8"/>
  <c r="H265" i="8"/>
  <c r="J261" i="8"/>
  <c r="D261" i="8"/>
  <c r="J247" i="8"/>
  <c r="J245" i="8"/>
  <c r="J243" i="8"/>
  <c r="J242" i="8"/>
  <c r="J238" i="8"/>
  <c r="H238" i="8"/>
  <c r="G238" i="8"/>
  <c r="C238" i="8"/>
  <c r="J235" i="8"/>
  <c r="J234" i="8"/>
  <c r="J233" i="8"/>
  <c r="J232" i="8"/>
  <c r="J231" i="8"/>
  <c r="J230" i="8"/>
  <c r="J227" i="8"/>
  <c r="J224" i="8"/>
  <c r="H224" i="8"/>
  <c r="G224" i="8"/>
  <c r="C224" i="8"/>
  <c r="J223" i="8"/>
  <c r="H223" i="8"/>
  <c r="G223" i="8"/>
  <c r="C223" i="8"/>
  <c r="J220" i="8"/>
  <c r="J216" i="8"/>
  <c r="I216" i="8"/>
  <c r="H216" i="8"/>
  <c r="G216" i="8"/>
  <c r="C216" i="8"/>
  <c r="H215" i="8"/>
  <c r="J211" i="8"/>
  <c r="D211" i="8"/>
  <c r="J197" i="8"/>
  <c r="J195" i="8"/>
  <c r="J193" i="8"/>
  <c r="J192" i="8"/>
  <c r="J188" i="8"/>
  <c r="H188" i="8"/>
  <c r="G188" i="8"/>
  <c r="C188" i="8"/>
  <c r="J185" i="8"/>
  <c r="J184" i="8"/>
  <c r="J183" i="8"/>
  <c r="J182" i="8"/>
  <c r="J181" i="8"/>
  <c r="J180" i="8"/>
  <c r="J177" i="8"/>
  <c r="J174" i="8"/>
  <c r="J171" i="8"/>
  <c r="J167" i="8"/>
  <c r="I167" i="8"/>
  <c r="H167" i="8"/>
  <c r="G167" i="8"/>
  <c r="C167" i="8"/>
  <c r="H166" i="8"/>
  <c r="J162" i="8"/>
  <c r="D162" i="8"/>
  <c r="J148" i="8"/>
  <c r="J146" i="8"/>
  <c r="J144" i="8"/>
  <c r="J143" i="8"/>
  <c r="J139" i="8"/>
  <c r="H139" i="8"/>
  <c r="G139" i="8"/>
  <c r="C139" i="8"/>
  <c r="J136" i="8"/>
  <c r="J135" i="8"/>
  <c r="J134" i="8"/>
  <c r="J133" i="8"/>
  <c r="J132" i="8"/>
  <c r="J131" i="8"/>
  <c r="J128" i="8"/>
  <c r="J121" i="8"/>
  <c r="J118" i="8"/>
  <c r="I118" i="8"/>
  <c r="H118" i="8"/>
  <c r="G118" i="8"/>
  <c r="C118" i="8"/>
  <c r="J117" i="8"/>
  <c r="I117" i="8"/>
  <c r="H117" i="8"/>
  <c r="G117" i="8"/>
  <c r="C117" i="8"/>
  <c r="H116" i="8"/>
  <c r="J112" i="8"/>
  <c r="D112" i="8"/>
  <c r="J98" i="8"/>
  <c r="J96" i="8"/>
  <c r="J94" i="8"/>
  <c r="J93" i="8"/>
  <c r="J89" i="8"/>
  <c r="H89" i="8"/>
  <c r="G89" i="8"/>
  <c r="C89" i="8"/>
  <c r="J86" i="8"/>
  <c r="J85" i="8"/>
  <c r="J84" i="8"/>
  <c r="J82" i="8"/>
  <c r="I82" i="8"/>
  <c r="H82" i="8"/>
  <c r="G82" i="8"/>
  <c r="C82" i="8"/>
  <c r="J79" i="8"/>
  <c r="J77" i="8"/>
  <c r="J76" i="8"/>
  <c r="J75" i="8"/>
  <c r="H75" i="8"/>
  <c r="G75" i="8"/>
  <c r="C75" i="8"/>
  <c r="J74" i="8"/>
  <c r="C74" i="8"/>
  <c r="J71" i="8"/>
  <c r="H66" i="8"/>
  <c r="J62" i="8"/>
  <c r="D62" i="8"/>
  <c r="J48" i="8"/>
  <c r="J46" i="8"/>
  <c r="J44" i="8"/>
  <c r="J43" i="8"/>
  <c r="J39" i="8"/>
  <c r="H39" i="8"/>
  <c r="G39" i="8"/>
  <c r="C39" i="8"/>
  <c r="J36" i="8"/>
  <c r="J35" i="8"/>
  <c r="J34" i="8"/>
  <c r="J33" i="8"/>
  <c r="J32" i="8"/>
  <c r="J28" i="8"/>
  <c r="J26" i="8"/>
  <c r="J25" i="8"/>
  <c r="J24" i="8"/>
  <c r="J23" i="8"/>
  <c r="J20" i="8"/>
  <c r="J16" i="8"/>
  <c r="J15" i="8"/>
  <c r="J11" i="8"/>
  <c r="D11"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USER</author>
  </authors>
  <commentList>
    <comment ref="E40" authorId="0" shapeId="0" xr:uid="{0FEA8525-B430-421F-B897-C42DE8B0A198}">
      <text>
        <r>
          <rPr>
            <sz val="10"/>
            <color rgb="FF000000"/>
            <rFont val="Aptos Narrow"/>
            <family val="2"/>
            <scheme val="minor"/>
          </rPr>
          <t>======
ID#AAABdMBsVfk
USER    (2025-02-20 19:24:32)
lamina + manija</t>
        </r>
      </text>
    </comment>
    <comment ref="E167" authorId="1" shapeId="0" xr:uid="{57753653-708D-4437-A36C-71A14E69112F}">
      <text>
        <r>
          <rPr>
            <b/>
            <sz val="9"/>
            <rFont val="Tahoma"/>
            <family val="2"/>
          </rPr>
          <t xml:space="preserve">confirmar precio con electrico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UNIVERSIDAD DISTRITAL</author>
  </authors>
  <commentList>
    <comment ref="L7" authorId="0" shapeId="0" xr:uid="{E484CF59-E21B-4DFF-9DA4-ACF53E33761A}">
      <text>
        <r>
          <rPr>
            <b/>
            <sz val="9"/>
            <rFont val="Tahoma"/>
            <family val="2"/>
          </rPr>
          <t>Según Accesibilidad Policia Nacional</t>
        </r>
      </text>
    </comment>
  </commentList>
</comments>
</file>

<file path=xl/sharedStrings.xml><?xml version="1.0" encoding="utf-8"?>
<sst xmlns="http://schemas.openxmlformats.org/spreadsheetml/2006/main" count="2624" uniqueCount="1116">
  <si>
    <t xml:space="preserve">FORMATO COTIZACIÓN </t>
  </si>
  <si>
    <t>N.º</t>
  </si>
  <si>
    <t>DESCRIPCIÓN</t>
  </si>
  <si>
    <t>UND.</t>
  </si>
  <si>
    <t>CANTIDAD</t>
  </si>
  <si>
    <t>VALOR UNITARIO</t>
  </si>
  <si>
    <t>VALOR TOTAL</t>
  </si>
  <si>
    <t>Actividades Preliminares</t>
  </si>
  <si>
    <t>Actividades particulares</t>
  </si>
  <si>
    <t>Actividades de proteccion</t>
  </si>
  <si>
    <t>Tratamiento quimico fachada muro en ladrillo a  la vista</t>
  </si>
  <si>
    <t>Tratamiento quimico fachada muro en piedra muñeca o Bogotana</t>
  </si>
  <si>
    <t>Sellamiento hermetico de marcos metalicos de ventanas a los vanos de los muros.</t>
  </si>
  <si>
    <t>Retiro pelicula polarizada de ventanales (incluye limpieza de los vidrios)</t>
  </si>
  <si>
    <t>Suministro e instalacion de pelicula polarizada en ventanales</t>
  </si>
  <si>
    <t>Escarificación y preparación de superficie para elementos estructurales, incluye sellado de fisuras (vigas de corona, columnas, placa de entrepieso).</t>
  </si>
  <si>
    <t>Localizacion y replanteo</t>
  </si>
  <si>
    <t xml:space="preserve">Cerramiento en polisombra con madera rolliza incluye bloque en cemento </t>
  </si>
  <si>
    <t>Lavado de fachada con hidrolavadora incluye andamiado y salvavida</t>
  </si>
  <si>
    <t>Mantenimiento y reposición e instalación de enchape mármol piedra muñeca</t>
  </si>
  <si>
    <t>ml</t>
  </si>
  <si>
    <t>m2</t>
  </si>
  <si>
    <t>Aseo final de obra</t>
  </si>
  <si>
    <t xml:space="preserve">Reparacion de humedad en superficie incluye escarificacion , antihongo </t>
  </si>
  <si>
    <t>Arquitectura</t>
  </si>
  <si>
    <t>Pintura koraza sobre pañete tres manos incluye acronal y andamiado</t>
  </si>
  <si>
    <t xml:space="preserve">Pañete impermeabilizado 2 cm de espesor </t>
  </si>
  <si>
    <t>Adminitracion</t>
  </si>
  <si>
    <t>Imprevistos</t>
  </si>
  <si>
    <t>Utilidad</t>
  </si>
  <si>
    <t xml:space="preserve">Total  costo directo </t>
  </si>
  <si>
    <t>Total  obras</t>
  </si>
  <si>
    <t>Iva sobre utilidad</t>
  </si>
  <si>
    <t>suministro e instalacion de malla para pañete icluye engrapado</t>
  </si>
  <si>
    <t xml:space="preserve">Aseo </t>
  </si>
  <si>
    <t xml:space="preserve">Tratamiento de humedad de muros hasta 1,2 m de altura con sika impermur  o similar </t>
  </si>
  <si>
    <t xml:space="preserve">suministro e instalacion de ventana 3+3 con cinta de seguridad.  </t>
  </si>
  <si>
    <t>Limpieza portones metalicos bodegas (Incluye lijado y alistamiento)</t>
  </si>
  <si>
    <t>Suministro, aplicación y terminado de pintura anticorrosiva color gris para portones metalicos.</t>
  </si>
  <si>
    <t>Glb</t>
  </si>
  <si>
    <t>MANO DE OBRA</t>
  </si>
  <si>
    <t>Año</t>
  </si>
  <si>
    <t>Salario</t>
  </si>
  <si>
    <t>CODIGO</t>
  </si>
  <si>
    <t>DESCRIPCION</t>
  </si>
  <si>
    <t>UNIDAD</t>
  </si>
  <si>
    <t>VALOR</t>
  </si>
  <si>
    <t>Mes</t>
  </si>
  <si>
    <t>M1</t>
  </si>
  <si>
    <t>Ayudante</t>
  </si>
  <si>
    <t>H</t>
  </si>
  <si>
    <t>Subsidio Transporte</t>
  </si>
  <si>
    <t>Dia</t>
  </si>
  <si>
    <t>M2</t>
  </si>
  <si>
    <t>Maestro de obra</t>
  </si>
  <si>
    <t>Salario total</t>
  </si>
  <si>
    <t>Hora</t>
  </si>
  <si>
    <t>M3</t>
  </si>
  <si>
    <t>Operario de maquinaria</t>
  </si>
  <si>
    <t>Factor prestacional</t>
  </si>
  <si>
    <t>Hora + prestaciones</t>
  </si>
  <si>
    <t>M4</t>
  </si>
  <si>
    <t>Técnico</t>
  </si>
  <si>
    <t xml:space="preserve">Cesantias </t>
  </si>
  <si>
    <t>Factor Zona de muy bajo acceso (1,6)</t>
  </si>
  <si>
    <t>M5</t>
  </si>
  <si>
    <t>Topógrafo</t>
  </si>
  <si>
    <t>I. Cesantias</t>
  </si>
  <si>
    <t>M6</t>
  </si>
  <si>
    <t>Cadenero</t>
  </si>
  <si>
    <t>Vacaciones</t>
  </si>
  <si>
    <t>M7</t>
  </si>
  <si>
    <t>CUADRILLA I (Oficial + ayudante)</t>
  </si>
  <si>
    <t>Prima</t>
  </si>
  <si>
    <t>M8</t>
  </si>
  <si>
    <t>CUADRILLA II (Técnico + ayudante)</t>
  </si>
  <si>
    <t>Prestaciones sociales</t>
  </si>
  <si>
    <t>M9</t>
  </si>
  <si>
    <t>CUADRILLA III (Oficial + 2 ayudante)</t>
  </si>
  <si>
    <t xml:space="preserve">Total </t>
  </si>
  <si>
    <t>M10</t>
  </si>
  <si>
    <t>CUADRILLA IV (Técnico + 2 ayudante)</t>
  </si>
  <si>
    <t>M11</t>
  </si>
  <si>
    <t>CUADRILLA V (Oficial + 3 ayudante)</t>
  </si>
  <si>
    <t>M12</t>
  </si>
  <si>
    <t>CUADRILLA VI (Oficial + 4 ayudante)</t>
  </si>
  <si>
    <t>M13</t>
  </si>
  <si>
    <t>CUADRILLA VII (Oficial + 6 ayudante)</t>
  </si>
  <si>
    <t>M14</t>
  </si>
  <si>
    <t>CUADRILLA VIII (3 Oficial + 6 ayudante)</t>
  </si>
  <si>
    <t>M15</t>
  </si>
  <si>
    <t>CUADRILLA IX  (Tópógrafo + Cadenero)</t>
  </si>
  <si>
    <t>M16</t>
  </si>
  <si>
    <t>CUADRILLA X  (Personal especializado)</t>
  </si>
  <si>
    <t>INSUMO</t>
  </si>
  <si>
    <t>PRECIO ELEGIDO</t>
  </si>
  <si>
    <t>PRECIO</t>
  </si>
  <si>
    <t>FUNTE</t>
  </si>
  <si>
    <t>FUENTE</t>
  </si>
  <si>
    <t>EQUIPO</t>
  </si>
  <si>
    <t>TRANSPORTE</t>
  </si>
  <si>
    <t>A10</t>
  </si>
  <si>
    <t>Recebo común incluye transporte</t>
  </si>
  <si>
    <t>Transporte de materiales pétreos de la cantera Los Pochos 
hasta la obra</t>
  </si>
  <si>
    <t>Transporte de materiales pétreos de la cantera La Fontana 
hasta la obra.</t>
  </si>
  <si>
    <t>TIPO</t>
  </si>
  <si>
    <t>TARIFA/ VJ.</t>
  </si>
  <si>
    <t>(M3-TON-KG-KM)</t>
  </si>
  <si>
    <t>TARIFA</t>
  </si>
  <si>
    <t>PRECIO/UNI</t>
  </si>
  <si>
    <t>A100</t>
  </si>
  <si>
    <t>Escalera de gato recubierta</t>
  </si>
  <si>
    <t>PELDAÑO</t>
  </si>
  <si>
    <t>E1</t>
  </si>
  <si>
    <t>Herramienta menor</t>
  </si>
  <si>
    <t>T1</t>
  </si>
  <si>
    <t>Volqueta sencilla (6 M3)</t>
  </si>
  <si>
    <t xml:space="preserve">6 M3 VJ </t>
  </si>
  <si>
    <t>A101</t>
  </si>
  <si>
    <t xml:space="preserve">Terminal barril largo 2 AWG un ojo </t>
  </si>
  <si>
    <t>UND</t>
  </si>
  <si>
    <t>E1,8</t>
  </si>
  <si>
    <t>Herramienta menor topografía</t>
  </si>
  <si>
    <t>T2</t>
  </si>
  <si>
    <t xml:space="preserve">Transporte de andamio </t>
  </si>
  <si>
    <t>SC X 24</t>
  </si>
  <si>
    <t>A102</t>
  </si>
  <si>
    <t>Ladrillo tolete comun 25*12*6 cm</t>
  </si>
  <si>
    <t>E10</t>
  </si>
  <si>
    <t xml:space="preserve">Vibrador de concreto de aguja a gasolina </t>
  </si>
  <si>
    <t>dia</t>
  </si>
  <si>
    <t>T3</t>
  </si>
  <si>
    <t>Camioneta ( 1 TON)</t>
  </si>
  <si>
    <t>1 TON</t>
  </si>
  <si>
    <t>A103</t>
  </si>
  <si>
    <t>Tubo Metálico EMT Conduit Galvanizado de 1½" x 1Mts</t>
  </si>
  <si>
    <t>ML</t>
  </si>
  <si>
    <t>E11</t>
  </si>
  <si>
    <t>Escalera de tijera 6 pasos</t>
  </si>
  <si>
    <t>T4</t>
  </si>
  <si>
    <t>Derecho a botadero</t>
  </si>
  <si>
    <t>A103-</t>
  </si>
  <si>
    <t>Arena de peña</t>
  </si>
  <si>
    <t>E12</t>
  </si>
  <si>
    <t>Cortadora de ladrillo</t>
  </si>
  <si>
    <t>T5</t>
  </si>
  <si>
    <t>Camion Bogota - Garagoa</t>
  </si>
  <si>
    <t>VJ</t>
  </si>
  <si>
    <t>A104</t>
  </si>
  <si>
    <t xml:space="preserve">Curva 90 EMT Conduit Galvanizado de 1½" </t>
  </si>
  <si>
    <t>E13</t>
  </si>
  <si>
    <t>Martillo demoledor de muro a 110 V, 1500 W, 16.8 J</t>
  </si>
  <si>
    <t>T7</t>
  </si>
  <si>
    <t>Derecho a botadero VJ</t>
  </si>
  <si>
    <t>A105</t>
  </si>
  <si>
    <t>Curva 90 EMT Conduit Galvanizado de 1"</t>
  </si>
  <si>
    <t>E14</t>
  </si>
  <si>
    <t>Cortadora de pavimento, profundidad de corte: 16- 19 cm. capacidad de disco: desde 12" hasta 20" de diámetro</t>
  </si>
  <si>
    <t>T8</t>
  </si>
  <si>
    <t>Transporte de acero</t>
  </si>
  <si>
    <t>KG</t>
  </si>
  <si>
    <t>A106</t>
  </si>
  <si>
    <t xml:space="preserve">Terminal EMT conector de 1"  </t>
  </si>
  <si>
    <t>E15</t>
  </si>
  <si>
    <t>Sierra circular 7-1/4pulg 1500W 5800rpm</t>
  </si>
  <si>
    <t>T9</t>
  </si>
  <si>
    <t>Transporte de agregado M3 / KM</t>
  </si>
  <si>
    <t>A107</t>
  </si>
  <si>
    <t xml:space="preserve">Unión EMT de 1" </t>
  </si>
  <si>
    <t>E16</t>
  </si>
  <si>
    <t xml:space="preserve">Andamio certificado x modulo </t>
  </si>
  <si>
    <t>DIA</t>
  </si>
  <si>
    <t>A108</t>
  </si>
  <si>
    <t>Cable Cu aislado tipo HFFR-LS No. 6</t>
  </si>
  <si>
    <t>E17</t>
  </si>
  <si>
    <t>Pulidora de 4 1/2"</t>
  </si>
  <si>
    <t>A109</t>
  </si>
  <si>
    <t xml:space="preserve">Terminal barril largo 6 AWG un ojo </t>
  </si>
  <si>
    <t>E18</t>
  </si>
  <si>
    <t>Formaleta metálica para caisson</t>
  </si>
  <si>
    <t>A11</t>
  </si>
  <si>
    <t xml:space="preserve">Geotextil NT 1500, </t>
  </si>
  <si>
    <t>E19</t>
  </si>
  <si>
    <t>Formaleta metálica (incluye 4 secciones, pernos, amarres)</t>
  </si>
  <si>
    <t>SEMANA</t>
  </si>
  <si>
    <t>A110</t>
  </si>
  <si>
    <r>
      <rPr>
        <sz val="10"/>
        <color theme="1"/>
        <rFont val="Arial"/>
        <family val="2"/>
      </rPr>
      <t>Tubo Metálico EMT Conduit Galvanizado de 1</t>
    </r>
    <r>
      <rPr>
        <vertAlign val="subscript"/>
        <sz val="10"/>
        <color theme="1"/>
        <rFont val="Arial"/>
        <family val="2"/>
      </rPr>
      <t>1/4</t>
    </r>
    <r>
      <rPr>
        <sz val="10"/>
        <color theme="1"/>
        <rFont val="Arial"/>
        <family val="2"/>
      </rPr>
      <t>" x 1Mts</t>
    </r>
  </si>
  <si>
    <t>E2</t>
  </si>
  <si>
    <t xml:space="preserve">Minicargador </t>
  </si>
  <si>
    <t>HORA</t>
  </si>
  <si>
    <t>A111</t>
  </si>
  <si>
    <r>
      <rPr>
        <sz val="10"/>
        <color theme="1"/>
        <rFont val="Arial"/>
        <family val="2"/>
      </rPr>
      <t>Curva 90 EMT Conduit Galvanizado de 1</t>
    </r>
    <r>
      <rPr>
        <vertAlign val="subscript"/>
        <sz val="10"/>
        <color theme="1"/>
        <rFont val="Arial"/>
        <family val="2"/>
      </rPr>
      <t>1/4</t>
    </r>
    <r>
      <rPr>
        <sz val="10"/>
        <color theme="1"/>
        <rFont val="Arial"/>
        <family val="2"/>
      </rPr>
      <t xml:space="preserve">" </t>
    </r>
  </si>
  <si>
    <t>E20</t>
  </si>
  <si>
    <t>Tabla formaleta madera 1" x 12"</t>
  </si>
  <si>
    <t>A112</t>
  </si>
  <si>
    <r>
      <rPr>
        <sz val="10"/>
        <color theme="1"/>
        <rFont val="Arial"/>
        <family val="2"/>
      </rPr>
      <t>Terminal EMT conector de 1</t>
    </r>
    <r>
      <rPr>
        <vertAlign val="subscript"/>
        <sz val="10"/>
        <color theme="1"/>
        <rFont val="Arial"/>
        <family val="2"/>
      </rPr>
      <t>1/4</t>
    </r>
    <r>
      <rPr>
        <sz val="10"/>
        <color theme="1"/>
        <rFont val="Arial"/>
        <family val="2"/>
      </rPr>
      <t xml:space="preserve">"	 </t>
    </r>
  </si>
  <si>
    <t>E3</t>
  </si>
  <si>
    <t>Compresor  de aire 185 cmf, con rango de presión entre 80 y 150 psi, velocidad de 2600 rpm, mecanismo portable con motor de combustión a diesel. Conexión para dos martillos neumáticos de 60 o 90 libras y manguera para Sandblasting. (Incluye 2 Martillos)</t>
  </si>
  <si>
    <t>A113</t>
  </si>
  <si>
    <t xml:space="preserve">Unión EMT de 11/4" </t>
  </si>
  <si>
    <t>E4</t>
  </si>
  <si>
    <t>Disco diamantado concreto de 18"</t>
  </si>
  <si>
    <t>A114</t>
  </si>
  <si>
    <t xml:space="preserve">Tubo Metálico EMT Conduit Galvanizado de 1" x 1Mts </t>
  </si>
  <si>
    <t>E5</t>
  </si>
  <si>
    <t>Taladro Manual de 1/2″</t>
  </si>
  <si>
    <t>A115</t>
  </si>
  <si>
    <t xml:space="preserve">Caja metálica galvanizada ref. 5800 2x4 Cal 20 </t>
  </si>
  <si>
    <t>E6</t>
  </si>
  <si>
    <t>Mezclador de concreto manual (1 bultos)</t>
  </si>
  <si>
    <t>A116</t>
  </si>
  <si>
    <t xml:space="preserve">Unión EMT de 1½" </t>
  </si>
  <si>
    <t>E7</t>
  </si>
  <si>
    <t xml:space="preserve">Compactador manual </t>
  </si>
  <si>
    <t>A117</t>
  </si>
  <si>
    <t xml:space="preserve">Terminal EMT conector de 1½"	 </t>
  </si>
  <si>
    <t>E8</t>
  </si>
  <si>
    <t>Mini Retroexcavadora</t>
  </si>
  <si>
    <t>A118</t>
  </si>
  <si>
    <t>Casetón o Bovedillas en icopor y poliestireno expandido</t>
  </si>
  <si>
    <t>E21</t>
  </si>
  <si>
    <t>Martillo demoledor 75 joules</t>
  </si>
  <si>
    <t>A119</t>
  </si>
  <si>
    <t xml:space="preserve">Interruptor tripolar enchufable 63A, 10kA a 110V/ 6kA a 230V  </t>
  </si>
  <si>
    <t>E22</t>
  </si>
  <si>
    <t xml:space="preserve">Soplete para tela asfáltica gas propano </t>
  </si>
  <si>
    <t>A12</t>
  </si>
  <si>
    <t>Tubéría de 3" perforada</t>
  </si>
  <si>
    <t>E23</t>
  </si>
  <si>
    <t>Pipeta de gas</t>
  </si>
  <si>
    <t>A120</t>
  </si>
  <si>
    <t>Tablero Transferencia automática 200A de fabricación especial</t>
  </si>
  <si>
    <t>E24</t>
  </si>
  <si>
    <t>Pluma grúa eléctrica</t>
  </si>
  <si>
    <t>A121</t>
  </si>
  <si>
    <t>Tablero Transferencia automática BCI 100A de fabricación especial</t>
  </si>
  <si>
    <t>E25</t>
  </si>
  <si>
    <t>Equipo de soldadura MIG 250A</t>
  </si>
  <si>
    <t>A122</t>
  </si>
  <si>
    <t>Tablero General de Acometidas TGC a 208V de fabricación especial</t>
  </si>
  <si>
    <t>E26</t>
  </si>
  <si>
    <t xml:space="preserve">Cizalladora manual, cortadora de acero 24" Incluye disco y extension </t>
  </si>
  <si>
    <t>A123</t>
  </si>
  <si>
    <t>Celda de medida y protección norma CT-2054-A</t>
  </si>
  <si>
    <t>E27</t>
  </si>
  <si>
    <t xml:space="preserve">Dispositivo Minicargador </t>
  </si>
  <si>
    <t>A124</t>
  </si>
  <si>
    <t xml:space="preserve">Transformador Trifásico seco con celda de transformador de 75kVA, 13200- 208/120V, con regulación de 5 posiciones con variación del 2,5%. Incluye DPS, soporte para instalación de DPS, ruedas orientables, orejas de levante, terminales de tierra, neutro y terminales en primario y secundario, y elementos de fijación.	 </t>
  </si>
  <si>
    <t>E28</t>
  </si>
  <si>
    <t>Porta Pallet Minicargador</t>
  </si>
  <si>
    <t>A125</t>
  </si>
  <si>
    <t>Celda de transformador según norma CT-2055-A</t>
  </si>
  <si>
    <t>E29</t>
  </si>
  <si>
    <t>Miniretroexcavadora</t>
  </si>
  <si>
    <t>A126</t>
  </si>
  <si>
    <t>Malla vena</t>
  </si>
  <si>
    <t>E30</t>
  </si>
  <si>
    <t>Dispositivo Miniretroexcavadora</t>
  </si>
  <si>
    <t>UPS 15kVA ON LINE Doble Conversión Trifásica - Configuración tipo torre- Controlador DSP - Entrada Dual (Red y Generador) - Conexión en paralelo (Escalabilidad o Redundancia) hasta 8 equipos - Display Touch Screen. Bypass de Mantenimiento y Automático - Eficiencia AC- AC 96% - Modo Eco mode 98% - Indicador de estado de la UPS con barra de iluminación. Incluye Banco de Baterias interno con mínimo 5 minutos a plena carga, incluye tarjeta de comunicación, incluye suministro de DPS para entrada y salida de la UPS de 80kA. Incluye instalación a cero metros y entrega en plataforma de camión.</t>
  </si>
  <si>
    <t>E31</t>
  </si>
  <si>
    <t xml:space="preserve">MAQUINARIA MAYOR </t>
  </si>
  <si>
    <t>A127</t>
  </si>
  <si>
    <t>Planta eléctrica 75kVA 208V efectivos en sitio. Incluye silenciador de escape, tanque de combustible, amortiguadores de vibración, precalentador, gobernador, cargador automático de baterías, tablero de control digital, módulo de arranque automático y cabina tipo intemperie, elementos de fijación, marquillado y accesorios.</t>
  </si>
  <si>
    <t>E32</t>
  </si>
  <si>
    <t>Bicilindro RZ216V</t>
  </si>
  <si>
    <t>A128</t>
  </si>
  <si>
    <t>Marco y Tapa caja inspección doble EBSA 2007A (angulo de 2 1/2 x 2 1/2 x 3/16)</t>
  </si>
  <si>
    <t>E33</t>
  </si>
  <si>
    <t>Bicilindro XMR303 compactador</t>
  </si>
  <si>
    <t>A129</t>
  </si>
  <si>
    <t>Caja de inspección de conexión eléctrica, prefabricada de concreto, sin fondo, registrable, de 30x30x30 cm de medidas interiores, con paredes rebajadas para la entrada de tubos, capaz de soportar una carga de 400 kN.</t>
  </si>
  <si>
    <t>E34</t>
  </si>
  <si>
    <t>Compresor de aire 150 lbs</t>
  </si>
  <si>
    <t>A13</t>
  </si>
  <si>
    <t>Bloque en cemento estrucrural H-12 liso gris de 19x12x39 CM</t>
  </si>
  <si>
    <t>E35</t>
  </si>
  <si>
    <t>Compresor Neumático</t>
  </si>
  <si>
    <t>A130</t>
  </si>
  <si>
    <t>Marco de lámina galvanizada y tapa de concreto armado aligerado, de 39,5x38,5 cm, para caja de inspección de conexión eléctrica, capaz de soportar una carga de 125 kN.</t>
  </si>
  <si>
    <t>E36</t>
  </si>
  <si>
    <t>Montacargas</t>
  </si>
  <si>
    <t>A131</t>
  </si>
  <si>
    <t>Lámina de alfajor con espesor mínimo de 3mm para cárcamo en concreto, incluye manija</t>
  </si>
  <si>
    <t>E37</t>
  </si>
  <si>
    <t>MAQUINARIA MENOR</t>
  </si>
  <si>
    <t>A132</t>
  </si>
  <si>
    <t>Cable MT 35mm2 ACC XLPE 15kV 100º C</t>
  </si>
  <si>
    <t>E38</t>
  </si>
  <si>
    <t>Taladro rotopercutor DW32</t>
  </si>
  <si>
    <t>Día</t>
  </si>
  <si>
    <t>A133</t>
  </si>
  <si>
    <t>Terminales Premoldeadas Int 15 KV -  2 - 35 - Juego x 3 Unidades</t>
  </si>
  <si>
    <t>E39</t>
  </si>
  <si>
    <t>Taladro rotopercutor DW52</t>
  </si>
  <si>
    <t>A134</t>
  </si>
  <si>
    <t>Tubo PVC Conduit DB Tipo pesado de 4" x 1Mts</t>
  </si>
  <si>
    <t>E40</t>
  </si>
  <si>
    <t>Bicilindro RL700</t>
  </si>
  <si>
    <t>A135</t>
  </si>
  <si>
    <t>Terminal PVC conector de 4"</t>
  </si>
  <si>
    <t>E41</t>
  </si>
  <si>
    <t>Monocilindro RL600</t>
  </si>
  <si>
    <t>A136</t>
  </si>
  <si>
    <t xml:space="preserve">Varilla C.W. 5/8" x 2.44 m		 </t>
  </si>
  <si>
    <t>E42</t>
  </si>
  <si>
    <t>Apisonador tipo canguro</t>
  </si>
  <si>
    <t>A137</t>
  </si>
  <si>
    <t xml:space="preserve">Soldadura Exotérmica 150gr		 </t>
  </si>
  <si>
    <t>E43</t>
  </si>
  <si>
    <t>Placa vibratoria tipo rana</t>
  </si>
  <si>
    <t>A138</t>
  </si>
  <si>
    <t xml:space="preserve">Cable de cobre desnudo No 2/0 </t>
  </si>
  <si>
    <t>E44</t>
  </si>
  <si>
    <t>Concretadora 2 sacos eléctrica</t>
  </si>
  <si>
    <t>A139</t>
  </si>
  <si>
    <t xml:space="preserve">Barraje equipotencial de cobre 600A-15kV		 </t>
  </si>
  <si>
    <t>E45</t>
  </si>
  <si>
    <t>Concretadora 2 sacos a gasolina</t>
  </si>
  <si>
    <t>A14</t>
  </si>
  <si>
    <t>Material drenante de 1 a 1.5"</t>
  </si>
  <si>
    <t>E46</t>
  </si>
  <si>
    <t>Vibrador eléctrico</t>
  </si>
  <si>
    <t>A140</t>
  </si>
  <si>
    <t>Soporte para barraje Juego por 2 unidades</t>
  </si>
  <si>
    <t>JG</t>
  </si>
  <si>
    <t>E47</t>
  </si>
  <si>
    <t>Vibrador a gasolina</t>
  </si>
  <si>
    <t>A141</t>
  </si>
  <si>
    <t>Aislador de pin para 13,2 kV</t>
  </si>
  <si>
    <t>E48</t>
  </si>
  <si>
    <t>Allanadora de concreto</t>
  </si>
  <si>
    <t>A142</t>
  </si>
  <si>
    <t>Arandela cuadrada de 5/8"</t>
  </si>
  <si>
    <t>E49</t>
  </si>
  <si>
    <t>Regla vibratoria 4MTS</t>
  </si>
  <si>
    <t>A143</t>
  </si>
  <si>
    <t>Arandela redonda de 1/2"</t>
  </si>
  <si>
    <t>E50</t>
  </si>
  <si>
    <t>Flota canal</t>
  </si>
  <si>
    <t>A144</t>
  </si>
  <si>
    <t>Porta aislador pasante para cruceta de madera</t>
  </si>
  <si>
    <t>E51</t>
  </si>
  <si>
    <t>Rastrillo</t>
  </si>
  <si>
    <t>A145</t>
  </si>
  <si>
    <t>Cruceta de madera inmunizada de 2,0 m</t>
  </si>
  <si>
    <t>E52</t>
  </si>
  <si>
    <t>Martillo demoledor de piso</t>
  </si>
  <si>
    <t>A146</t>
  </si>
  <si>
    <t>Diagonal metálica en V de 1,1 m para cruceta de madera</t>
  </si>
  <si>
    <t>E53</t>
  </si>
  <si>
    <t>Martillo demoledor de muro</t>
  </si>
  <si>
    <t>A147</t>
  </si>
  <si>
    <t>DPS polimérico 12 kV, 10kA tipo línea</t>
  </si>
  <si>
    <t>E54</t>
  </si>
  <si>
    <t>Martillo demoledor mixto</t>
  </si>
  <si>
    <t>A148</t>
  </si>
  <si>
    <t>Seleccionador porta fusible tipo cañuela 100 A, 15 kV</t>
  </si>
  <si>
    <t>E55</t>
  </si>
  <si>
    <t>Punta muela demoledor piso</t>
  </si>
  <si>
    <t>A149</t>
  </si>
  <si>
    <t>Cable de cobre XLPE, 15 kV</t>
  </si>
  <si>
    <t>E56</t>
  </si>
  <si>
    <t>Punta muela demoledor muro</t>
  </si>
  <si>
    <t>A15</t>
  </si>
  <si>
    <t>Geosisntetico T2400</t>
  </si>
  <si>
    <t>E57</t>
  </si>
  <si>
    <t>Punta muela demoledor mixto</t>
  </si>
  <si>
    <t>A150</t>
  </si>
  <si>
    <t>Cinta bandit de 5/8"</t>
  </si>
  <si>
    <t>E58</t>
  </si>
  <si>
    <t>Cortadora de piso con operario, máx 5cm con disco (stand by mín 50ML/día)</t>
  </si>
  <si>
    <t>A151</t>
  </si>
  <si>
    <t>Hebilla bandit de 5/8"</t>
  </si>
  <si>
    <t>E59</t>
  </si>
  <si>
    <t>Centímetro adicional cortadora de piso</t>
  </si>
  <si>
    <t>Cm</t>
  </si>
  <si>
    <t>A152</t>
  </si>
  <si>
    <t>Perno de máquina d 5/8" x 10"</t>
  </si>
  <si>
    <t>E60</t>
  </si>
  <si>
    <t>Cortadora de piso sin operario, sin disco, sin combustible</t>
  </si>
  <si>
    <t>A153</t>
  </si>
  <si>
    <t>Capacete galvanizado de 3"</t>
  </si>
  <si>
    <t>E61</t>
  </si>
  <si>
    <t>Cortadora de Adobe</t>
  </si>
  <si>
    <t>A154</t>
  </si>
  <si>
    <t>sistema de puesta a tierra para MT media tensión</t>
  </si>
  <si>
    <t>E62</t>
  </si>
  <si>
    <t>Motobomba gasolina 3p</t>
  </si>
  <si>
    <t>A155</t>
  </si>
  <si>
    <t xml:space="preserve">Cinta PVC O-22 Sellar E Impermeabilizar Juntas En Tanques </t>
  </si>
  <si>
    <t>E63</t>
  </si>
  <si>
    <t>Bomba sumergible 3p</t>
  </si>
  <si>
    <t>A156</t>
  </si>
  <si>
    <t>Terminal premoldeado MT 15 kV, tipo exterior cable 2 a 3/0</t>
  </si>
  <si>
    <t xml:space="preserve"> </t>
  </si>
  <si>
    <t>E64</t>
  </si>
  <si>
    <t>Bomba sumergible 2p</t>
  </si>
  <si>
    <t>A157</t>
  </si>
  <si>
    <t>Poste de ferroconcreto de 12 m, 510 kgf tipo línea</t>
  </si>
  <si>
    <t>E65</t>
  </si>
  <si>
    <t>Inversor DC 110 AMP</t>
  </si>
  <si>
    <t>A158</t>
  </si>
  <si>
    <t>Perno de máquina de 5/8 x 12"</t>
  </si>
  <si>
    <t>E66</t>
  </si>
  <si>
    <t>Inversor DC 220 AMP</t>
  </si>
  <si>
    <t>A159</t>
  </si>
  <si>
    <t>Esparrago galvanizado de 5/8" x 18"</t>
  </si>
  <si>
    <t>E67</t>
  </si>
  <si>
    <t>Soldador DC 600</t>
  </si>
  <si>
    <t>A16</t>
  </si>
  <si>
    <t>Teja de zinc</t>
  </si>
  <si>
    <t>E68</t>
  </si>
  <si>
    <t>Hidrolavadora eléctrica</t>
  </si>
  <si>
    <t>A160</t>
  </si>
  <si>
    <t>Grapa para operar en caliente</t>
  </si>
  <si>
    <t>E69</t>
  </si>
  <si>
    <t>Pluma Grúa</t>
  </si>
  <si>
    <t>A161</t>
  </si>
  <si>
    <t>Perno de máquina de 1/2" x 6"</t>
  </si>
  <si>
    <t>E70</t>
  </si>
  <si>
    <t>Motosierra</t>
  </si>
  <si>
    <t>A162</t>
  </si>
  <si>
    <t>Alambrón de aluminio 8 mm</t>
  </si>
  <si>
    <t>E71</t>
  </si>
  <si>
    <t>Pulidora Manual 110V</t>
  </si>
  <si>
    <t>A163</t>
  </si>
  <si>
    <t>Punta captora 50cm aluminio</t>
  </si>
  <si>
    <t>E72</t>
  </si>
  <si>
    <t>Guadaña</t>
  </si>
  <si>
    <t>A164</t>
  </si>
  <si>
    <t>Punta captora 100cm aluminio</t>
  </si>
  <si>
    <t>E73</t>
  </si>
  <si>
    <t>Escalera de fibra de vidrio 40FT</t>
  </si>
  <si>
    <t>A165</t>
  </si>
  <si>
    <t>Soportes para captadoras para tejas de cubierta</t>
  </si>
  <si>
    <t>E74</t>
  </si>
  <si>
    <t>Escalera de fibra de vidrio 28FT</t>
  </si>
  <si>
    <t>A166</t>
  </si>
  <si>
    <t>Soportes para alambrón para uso en cubierta de tejas</t>
  </si>
  <si>
    <t>E75</t>
  </si>
  <si>
    <t>Escalera de fibra de vidrio 20FT</t>
  </si>
  <si>
    <t>A167</t>
  </si>
  <si>
    <t>Transformador de 45kVA</t>
  </si>
  <si>
    <t>E76</t>
  </si>
  <si>
    <t>Diferencial de cadena 2TON</t>
  </si>
  <si>
    <t>A168</t>
  </si>
  <si>
    <t>Clavo de acero de 2"</t>
  </si>
  <si>
    <t>LB</t>
  </si>
  <si>
    <t>E77</t>
  </si>
  <si>
    <t>Planta Eléctrica 10KVA</t>
  </si>
  <si>
    <t>A169</t>
  </si>
  <si>
    <t>cable encauchetado</t>
  </si>
  <si>
    <t>E78</t>
  </si>
  <si>
    <t>Planta eléctrica 8KVA</t>
  </si>
  <si>
    <t>A17</t>
  </si>
  <si>
    <t>Vara rolliza diametro de 10 cm</t>
  </si>
  <si>
    <t>E79</t>
  </si>
  <si>
    <t xml:space="preserve">GENERADOR DE ENERGIA </t>
  </si>
  <si>
    <t>A170</t>
  </si>
  <si>
    <t xml:space="preserve">Ladrillo prensado liviano 24,5X12X6cm </t>
  </si>
  <si>
    <t>E80</t>
  </si>
  <si>
    <t>Planta eléctrica 20KVA</t>
  </si>
  <si>
    <t>MES</t>
  </si>
  <si>
    <t>A171</t>
  </si>
  <si>
    <t>E81</t>
  </si>
  <si>
    <t>Planta eléctrica 30KVA</t>
  </si>
  <si>
    <t>A172</t>
  </si>
  <si>
    <t>Grafil 4 mm</t>
  </si>
  <si>
    <t>E82</t>
  </si>
  <si>
    <t>Planta eléctrica 33KVA</t>
  </si>
  <si>
    <t>A173</t>
  </si>
  <si>
    <t>Grafil 4.5 mm</t>
  </si>
  <si>
    <t>E83</t>
  </si>
  <si>
    <t>Planta eléctrica 35KVA</t>
  </si>
  <si>
    <t>A174</t>
  </si>
  <si>
    <t>Tubos de acero de 200mmx200mmx5mm</t>
  </si>
  <si>
    <t>E84</t>
  </si>
  <si>
    <t>Planta eléctrica 50KVA</t>
  </si>
  <si>
    <t>A175</t>
  </si>
  <si>
    <t>PL-1 SUP e1/4"</t>
  </si>
  <si>
    <t>E85</t>
  </si>
  <si>
    <t>Planta eléctrica 66KVA</t>
  </si>
  <si>
    <t>A176</t>
  </si>
  <si>
    <t>PL1- INF e1/4"</t>
  </si>
  <si>
    <t>E86</t>
  </si>
  <si>
    <t>Planta eléctrica 68KVA</t>
  </si>
  <si>
    <t>A177</t>
  </si>
  <si>
    <t>PL-2 e1/4"</t>
  </si>
  <si>
    <t>E87</t>
  </si>
  <si>
    <t>Planta eléctrica 70KVA</t>
  </si>
  <si>
    <t>A178</t>
  </si>
  <si>
    <t>PL-3 e1/4"</t>
  </si>
  <si>
    <t>E88</t>
  </si>
  <si>
    <t>Planta eléctrica 75KVA</t>
  </si>
  <si>
    <t>A179</t>
  </si>
  <si>
    <t>PL-4 e1/4"</t>
  </si>
  <si>
    <t>E89</t>
  </si>
  <si>
    <t>Planta eléctrica 90KVA</t>
  </si>
  <si>
    <t>A18</t>
  </si>
  <si>
    <t>Clavo de acero de 2 1/2"</t>
  </si>
  <si>
    <t>E90</t>
  </si>
  <si>
    <t>Planta eléctrica 120KVA</t>
  </si>
  <si>
    <t>A180</t>
  </si>
  <si>
    <t>PASADOR Ø3/8"</t>
  </si>
  <si>
    <t>E91</t>
  </si>
  <si>
    <t>Planta eléctrica 145KVA</t>
  </si>
  <si>
    <t>A181</t>
  </si>
  <si>
    <t>PERNO ROSCADO 3/8"</t>
  </si>
  <si>
    <t>E92</t>
  </si>
  <si>
    <t>Planta eléctrica 165KVA</t>
  </si>
  <si>
    <t>A183</t>
  </si>
  <si>
    <t xml:space="preserve">Pintura Anticorrosiva </t>
  </si>
  <si>
    <t>GLN</t>
  </si>
  <si>
    <t>E93</t>
  </si>
  <si>
    <t>Planta eléctrica 212KVA</t>
  </si>
  <si>
    <t>A184</t>
  </si>
  <si>
    <t>Pintura Intumescente (dos manos c/u 300 micras)</t>
  </si>
  <si>
    <t>E94</t>
  </si>
  <si>
    <t>Planta eléctrica 250KVA</t>
  </si>
  <si>
    <t>A185</t>
  </si>
  <si>
    <t>Esmalte de terminación</t>
  </si>
  <si>
    <t>E95</t>
  </si>
  <si>
    <t>Planta eléctrica 375KVA</t>
  </si>
  <si>
    <t>A186</t>
  </si>
  <si>
    <t>Tornillo anclaje 1/2"</t>
  </si>
  <si>
    <t>E96</t>
  </si>
  <si>
    <t>Planta eléctrica 625KVA</t>
  </si>
  <si>
    <t>A187</t>
  </si>
  <si>
    <t>PL 300mmX300mmX1/2"</t>
  </si>
  <si>
    <t>E97</t>
  </si>
  <si>
    <t>Torre de iluminación 2 fases 1000 wats</t>
  </si>
  <si>
    <t>A188</t>
  </si>
  <si>
    <t>Tubo de acero de 135X135X4</t>
  </si>
  <si>
    <t>E98</t>
  </si>
  <si>
    <t>A189</t>
  </si>
  <si>
    <t>Tubo de acero de 100X150X3</t>
  </si>
  <si>
    <t>E99</t>
  </si>
  <si>
    <t>Plataforma articulada DINGLI BA20CHRTZ 20mts</t>
  </si>
  <si>
    <t>$8.196.000</t>
  </si>
  <si>
    <t>A19</t>
  </si>
  <si>
    <t>Madera durmiente</t>
  </si>
  <si>
    <t>E100</t>
  </si>
  <si>
    <t>Plataforma de tijera JCPT1212DC 10mts</t>
  </si>
  <si>
    <t>$283.500</t>
  </si>
  <si>
    <t>A190</t>
  </si>
  <si>
    <t>E101</t>
  </si>
  <si>
    <t>Plataforma de tijera JCPT1212DC 12mts</t>
  </si>
  <si>
    <t>$349.800</t>
  </si>
  <si>
    <t>A192</t>
  </si>
  <si>
    <t>MALLA ELECTROSOLDADA ESTÁNDAR X KG (4.0mm a 8.5mm)</t>
  </si>
  <si>
    <t>E102</t>
  </si>
  <si>
    <t>Plataforma unipersonal 10mts</t>
  </si>
  <si>
    <t>$156.000</t>
  </si>
  <si>
    <t>A193</t>
  </si>
  <si>
    <t xml:space="preserve">Chazo puntilla 1/4X3-1/2 </t>
  </si>
  <si>
    <t>E103</t>
  </si>
  <si>
    <t>Plataforma unipersonal 12mts</t>
  </si>
  <si>
    <t>$170.000</t>
  </si>
  <si>
    <t>A194</t>
  </si>
  <si>
    <t>Vara rolliza diametro de 15 cm</t>
  </si>
  <si>
    <t>E104</t>
  </si>
  <si>
    <t>Abrazadera oriental u octogonal</t>
  </si>
  <si>
    <t>$319</t>
  </si>
  <si>
    <t>A196</t>
  </si>
  <si>
    <t>Perno+Tuerca</t>
  </si>
  <si>
    <t>E105</t>
  </si>
  <si>
    <t>Base collar MD</t>
  </si>
  <si>
    <t>$180</t>
  </si>
  <si>
    <t>A197</t>
  </si>
  <si>
    <t>Tornillo anclaje Ø3/8"</t>
  </si>
  <si>
    <t>E106</t>
  </si>
  <si>
    <t>Diagonal para MD 0,70 x 2,00 mts</t>
  </si>
  <si>
    <t>$678</t>
  </si>
  <si>
    <t>A198</t>
  </si>
  <si>
    <t>PL1-MARQUESINA E=1/4"</t>
  </si>
  <si>
    <t>E107</t>
  </si>
  <si>
    <t>Diagonal para MD 1,40 x 2,00 mts</t>
  </si>
  <si>
    <t>$758</t>
  </si>
  <si>
    <t>A199</t>
  </si>
  <si>
    <t>PHR C 203x67x19 (2.50mm)</t>
  </si>
  <si>
    <t>E108</t>
  </si>
  <si>
    <t>Diagonal para MD 2,00 mts</t>
  </si>
  <si>
    <t>$880</t>
  </si>
  <si>
    <t>A2</t>
  </si>
  <si>
    <t>Acero de refuerzo corrugado figurado</t>
  </si>
  <si>
    <t>E109</t>
  </si>
  <si>
    <t>Diagonal para MD 3,00 x 2,00 mts</t>
  </si>
  <si>
    <t>$933</t>
  </si>
  <si>
    <t>A20</t>
  </si>
  <si>
    <t>Platina 3/8 de 0,3mx0,3m</t>
  </si>
  <si>
    <t>E110</t>
  </si>
  <si>
    <t>Escalera interna para MD 3 x 2 mts</t>
  </si>
  <si>
    <t>$8.150</t>
  </si>
  <si>
    <t>A200</t>
  </si>
  <si>
    <t>Base BG-C</t>
  </si>
  <si>
    <t>E111</t>
  </si>
  <si>
    <t>Escalera tipo gato para MD</t>
  </si>
  <si>
    <t>$2.860</t>
  </si>
  <si>
    <t>A201</t>
  </si>
  <si>
    <t>Tubo de acero de 100x100x3mm</t>
  </si>
  <si>
    <t>E112</t>
  </si>
  <si>
    <t>Horizontal 0,70 mts para MD</t>
  </si>
  <si>
    <t>$435</t>
  </si>
  <si>
    <t>A202</t>
  </si>
  <si>
    <t>Pernos de anclaje</t>
  </si>
  <si>
    <t>E113</t>
  </si>
  <si>
    <t>Horizontal 1,40 mts para MD</t>
  </si>
  <si>
    <t>$647</t>
  </si>
  <si>
    <t>A203</t>
  </si>
  <si>
    <t>Anticorrosivo</t>
  </si>
  <si>
    <t>E114</t>
  </si>
  <si>
    <t>Horizontal 2,00 mts para MD</t>
  </si>
  <si>
    <t>$795</t>
  </si>
  <si>
    <t>A204</t>
  </si>
  <si>
    <t>E115</t>
  </si>
  <si>
    <t>Horizontal 3,00 mts para MD</t>
  </si>
  <si>
    <t>$943</t>
  </si>
  <si>
    <t>A205</t>
  </si>
  <si>
    <t>Platinas de anclaje 1/8 x 5/8 x 6 m</t>
  </si>
  <si>
    <t>E116</t>
  </si>
  <si>
    <t>Pasamanos para MD</t>
  </si>
  <si>
    <t>$265</t>
  </si>
  <si>
    <t>A206</t>
  </si>
  <si>
    <t xml:space="preserve">Soldadura		 </t>
  </si>
  <si>
    <t>E117</t>
  </si>
  <si>
    <t>Pin de seguridad para MD</t>
  </si>
  <si>
    <t>$32</t>
  </si>
  <si>
    <t>A207</t>
  </si>
  <si>
    <t>Epóxico de anclaje</t>
  </si>
  <si>
    <t>E118</t>
  </si>
  <si>
    <t>Pin tornillo MD</t>
  </si>
  <si>
    <t>A208</t>
  </si>
  <si>
    <t>PL 250mmx150mmx1/4"</t>
  </si>
  <si>
    <t>E119</t>
  </si>
  <si>
    <t>Plataforma 1,40 x 0,32 mts para MD</t>
  </si>
  <si>
    <t>$1.579</t>
  </si>
  <si>
    <t>A209</t>
  </si>
  <si>
    <t>PHR C 120x60x15 (2.50mm)</t>
  </si>
  <si>
    <t>E120</t>
  </si>
  <si>
    <t>Plataforma 1,40 x 0,60 mts con escotilla para MD</t>
  </si>
  <si>
    <t>$2.050</t>
  </si>
  <si>
    <t>A21</t>
  </si>
  <si>
    <t>Liston de madera 0,08*0,01*3</t>
  </si>
  <si>
    <t>E121</t>
  </si>
  <si>
    <t>Plataforma 2,00 x 0,32 mts para MD</t>
  </si>
  <si>
    <t>$2.046</t>
  </si>
  <si>
    <t>A210</t>
  </si>
  <si>
    <t>E122</t>
  </si>
  <si>
    <t>Plataforma 2,00 x 0,60 mts con escotilla para MD</t>
  </si>
  <si>
    <t>$2.597</t>
  </si>
  <si>
    <t>A211</t>
  </si>
  <si>
    <t>Tornillo anclaje Ø1/4</t>
  </si>
  <si>
    <t>E123</t>
  </si>
  <si>
    <t>Plataforma 3,00 x 0,32 mts para MD</t>
  </si>
  <si>
    <t>$2.360</t>
  </si>
  <si>
    <t>A212</t>
  </si>
  <si>
    <t>PHR C 254x67x18 (2.00mm)</t>
  </si>
  <si>
    <t>E124</t>
  </si>
  <si>
    <t>Plataforma de 3,00 x 0,60 mts con escotilla para MD</t>
  </si>
  <si>
    <t>$3.300</t>
  </si>
  <si>
    <t>A213</t>
  </si>
  <si>
    <t>Perno pasante Ø1/2"</t>
  </si>
  <si>
    <t>E125</t>
  </si>
  <si>
    <t>Rodapiés 1,40 mts para MD</t>
  </si>
  <si>
    <t>$710</t>
  </si>
  <si>
    <t>A214</t>
  </si>
  <si>
    <t>Perno Ø1/2"x5"</t>
  </si>
  <si>
    <t>E126</t>
  </si>
  <si>
    <t>Rodapiés 3,00 mts para MD</t>
  </si>
  <si>
    <t>$816</t>
  </si>
  <si>
    <t>A215</t>
  </si>
  <si>
    <t>Àngulos 1 1/2" x 1//8"</t>
  </si>
  <si>
    <t>E127</t>
  </si>
  <si>
    <t>Rueda giratoria para MD</t>
  </si>
  <si>
    <t>$4.150</t>
  </si>
  <si>
    <t>A216</t>
  </si>
  <si>
    <t xml:space="preserve">Angulos 4"x1/4" </t>
  </si>
  <si>
    <t>E128</t>
  </si>
  <si>
    <t>Rueda giratoria con tornillo nivelador para MD</t>
  </si>
  <si>
    <t>A217</t>
  </si>
  <si>
    <t>Perfil IP 200</t>
  </si>
  <si>
    <t>E129</t>
  </si>
  <si>
    <t>Tornillo nivelador inferior para MD</t>
  </si>
  <si>
    <t>$583</t>
  </si>
  <si>
    <t>A218</t>
  </si>
  <si>
    <t>Sellador Poliuretano Elástico Sin Burbujas Blanco 300ml</t>
  </si>
  <si>
    <t>E130</t>
  </si>
  <si>
    <t>Vertical 1 mt con espigo para MD</t>
  </si>
  <si>
    <t>$477</t>
  </si>
  <si>
    <t>A219</t>
  </si>
  <si>
    <t>Sellante elastomérico</t>
  </si>
  <si>
    <t>E131</t>
  </si>
  <si>
    <t>Vertical 1 mt sin espigo para MD</t>
  </si>
  <si>
    <t>A22</t>
  </si>
  <si>
    <t>Alambre negro</t>
  </si>
  <si>
    <t>E132</t>
  </si>
  <si>
    <t>Vertical 2 mts con espigo para MD</t>
  </si>
  <si>
    <t>$731</t>
  </si>
  <si>
    <t>A220</t>
  </si>
  <si>
    <t xml:space="preserve">Grapa Bimetálica DEHN Unión Alambrón - Cu 8-10 mm </t>
  </si>
  <si>
    <t>A221</t>
  </si>
  <si>
    <t>Curva 90 PVC de 1/2"</t>
  </si>
  <si>
    <t>A222</t>
  </si>
  <si>
    <t>Emulsió asfáltica ED-9</t>
  </si>
  <si>
    <t>A223</t>
  </si>
  <si>
    <t>Manto Asfáltico con Foil de Aluminio (Alumanto Autoadhesivo)</t>
  </si>
  <si>
    <t>A224</t>
  </si>
  <si>
    <t>Pintura Bituminosa de aluminio</t>
  </si>
  <si>
    <t>A225</t>
  </si>
  <si>
    <t>Distanciador plástico de 2,5 cm</t>
  </si>
  <si>
    <t>A23</t>
  </si>
  <si>
    <t>Canal en lámina galvanizada calibre 18</t>
  </si>
  <si>
    <t>A24</t>
  </si>
  <si>
    <t>Tomacorriente doble Tipo Nema 5-15R.</t>
  </si>
  <si>
    <t>A25</t>
  </si>
  <si>
    <t>Pintura esmalte a base de agua</t>
  </si>
  <si>
    <t>A26</t>
  </si>
  <si>
    <t>Ganchos para anclaje</t>
  </si>
  <si>
    <t>A27</t>
  </si>
  <si>
    <t>Angulos de 1x1x3/16</t>
  </si>
  <si>
    <t>Tubería 1/2" PVC</t>
  </si>
  <si>
    <t>A28</t>
  </si>
  <si>
    <t>Tornillo autoperforante</t>
  </si>
  <si>
    <t>A29</t>
  </si>
  <si>
    <t>Pernos 5/8"</t>
  </si>
  <si>
    <t>A3</t>
  </si>
  <si>
    <t>Polisombra</t>
  </si>
  <si>
    <t>A30</t>
  </si>
  <si>
    <t xml:space="preserve">Tomacorriente doble con tierra aislada naranja 15A -2P+T (TA) </t>
  </si>
  <si>
    <t>A300</t>
  </si>
  <si>
    <t>Concreto pobre 2500 PSI</t>
  </si>
  <si>
    <t>A301</t>
  </si>
  <si>
    <t>Repisa de madera ordinario 8x4x300 cm</t>
  </si>
  <si>
    <t>A302</t>
  </si>
  <si>
    <t>Anclaje 3/8"</t>
  </si>
  <si>
    <t>A303</t>
  </si>
  <si>
    <t>Tubo de acero de 50X100X3</t>
  </si>
  <si>
    <t>A304</t>
  </si>
  <si>
    <t>Tubo de acero de 100X100X3</t>
  </si>
  <si>
    <t>A305</t>
  </si>
  <si>
    <t xml:space="preserve">Tornillo autoperforante concreto de 5 cm </t>
  </si>
  <si>
    <t>A31</t>
  </si>
  <si>
    <t>Tomacorriente doble Tipo Nema 5-20R.</t>
  </si>
  <si>
    <t>A32</t>
  </si>
  <si>
    <t>Marquillas</t>
  </si>
  <si>
    <t>A33</t>
  </si>
  <si>
    <t>luminaria LED PANEL PRO SQ 36W- 595x595x26 mm de sobreponer 4000K 100-277V 3600lm IP20 111Lm/W 50000h L70 IRC 80</t>
  </si>
  <si>
    <t>A34</t>
  </si>
  <si>
    <t>luminaria LED HERM 36W DL ECO PROOF- 1160x53x34 mm de sobreponer/suspender 6500K 100-277V 3600lm IP20 100Lm/W 25000h L70 IRC 80Ra</t>
  </si>
  <si>
    <t>A35</t>
  </si>
  <si>
    <t>Cable encauchetado para conexión luminaria con prensaestopa</t>
  </si>
  <si>
    <t>A36</t>
  </si>
  <si>
    <t xml:space="preserve">Amarre Teja Tapa Metalica </t>
  </si>
  <si>
    <t>A38</t>
  </si>
  <si>
    <t>luminaria LED HERM 18W DL ECO PROOF-  589x53x34  mm de sobreponer/suspender 6500K 100-277V 1800lm IP20 100Lm/W 25000h L70 IRC 80Ra,</t>
  </si>
  <si>
    <t>A39</t>
  </si>
  <si>
    <t>luminaria LED BALA 15W NW MV JUPITER- Ф130*72mm (DxH) de incrustar 4000K 100-277V 1400lm IP20 93Lm/W 50000h L70 IRC 80, acabado en pintura blanca</t>
  </si>
  <si>
    <t>A4</t>
  </si>
  <si>
    <t>Madera rolliza ø entre 16 y 20cm (Eucalipto), longitud 6,00 m, inmunizada en autoclave.</t>
  </si>
  <si>
    <t>A40</t>
  </si>
  <si>
    <t>luminaria CPL G2 3P MF 30-840 M35</t>
  </si>
  <si>
    <t>A400</t>
  </si>
  <si>
    <t>Base wash Primer</t>
  </si>
  <si>
    <t>A401</t>
  </si>
  <si>
    <t>Omega para PVC 2-5/16x3/4x0,35mmx2,44m</t>
  </si>
  <si>
    <t>A402</t>
  </si>
  <si>
    <t>Teja barro S 45,7x28,6cm</t>
  </si>
  <si>
    <t>A403</t>
  </si>
  <si>
    <t>Caballete teja S 45,7x21,6x7,8cm</t>
  </si>
  <si>
    <t>A404</t>
  </si>
  <si>
    <t xml:space="preserve">Inmunizante Insecticida Fungicida para ,adera transparente </t>
  </si>
  <si>
    <t>A406</t>
  </si>
  <si>
    <t>Columnas madera Abarco 0,20 x0,20x3,5 m</t>
  </si>
  <si>
    <t>A407</t>
  </si>
  <si>
    <t>Columnas madera Abarco 0,20 x0,20x2,9 m</t>
  </si>
  <si>
    <t>A408</t>
  </si>
  <si>
    <t xml:space="preserve">Taquete entrepiso 0,04x0,04, madera Abarco   longitud 0,60m     </t>
  </si>
  <si>
    <t>A409</t>
  </si>
  <si>
    <t xml:space="preserve">Par largo madera Abarco  0,18 x0,06m  longitud 6,70m        </t>
  </si>
  <si>
    <t>A41</t>
  </si>
  <si>
    <t>luminaria LED para iluminación de emergencia tipo mickey mouse Sylvania de sobreponer 2x1.6W 120-277V 6500K(DL) IRC&gt;70 IP20 Tiempo de carga 24h Tiempo de autonomía 180min.</t>
  </si>
  <si>
    <t>A410</t>
  </si>
  <si>
    <t>Piso de madera Sapan, liston machihembrado 0,16 x 0,019 m sin pulir</t>
  </si>
  <si>
    <t>A411</t>
  </si>
  <si>
    <t xml:space="preserve">Viga Cumbrera 0.20x0.10m - Abarco             </t>
  </si>
  <si>
    <t>A412</t>
  </si>
  <si>
    <t>madera Abarco  0,18x0,06x3,5 m</t>
  </si>
  <si>
    <t>A413</t>
  </si>
  <si>
    <t xml:space="preserve">Canes (alero fachada) madera Abarco  0,15 x0,06m  longitud 1,50m                     </t>
  </si>
  <si>
    <t>A415</t>
  </si>
  <si>
    <t>Cubierta tipo panel sándwich termo acústico 2”</t>
  </si>
  <si>
    <t>A416</t>
  </si>
  <si>
    <t>Tornillo Cubierta Zincado Con Arandela De Neopreno</t>
  </si>
  <si>
    <t>A417</t>
  </si>
  <si>
    <t>Alfajía prefabricada de dos caidas con gotero</t>
  </si>
  <si>
    <t>A418</t>
  </si>
  <si>
    <t>Sika-1 Aditivo Impermeabilizante para morteros</t>
  </si>
  <si>
    <t>A419</t>
  </si>
  <si>
    <t>Alfaquick</t>
  </si>
  <si>
    <t>A420</t>
  </si>
  <si>
    <t xml:space="preserve">Par Corto madera Abarco  0,18 x0,06m  longitud 5,00m       </t>
  </si>
  <si>
    <t>A421</t>
  </si>
  <si>
    <t xml:space="preserve">Nudillo madera Abarco  0,18 x0,06m  longitud 2,50m            </t>
  </si>
  <si>
    <t>A422</t>
  </si>
  <si>
    <t xml:space="preserve">Tirante largo madera Abarco  0,18 x0,06m  longitud 6,50m            </t>
  </si>
  <si>
    <t>A423</t>
  </si>
  <si>
    <t xml:space="preserve">Tirante corto madera Abarco,  0,18 x0,06m  longitud 3,50m </t>
  </si>
  <si>
    <t>A424</t>
  </si>
  <si>
    <t xml:space="preserve">     * Gualdera 10*20* Viga A de 4,00m en sapán                               </t>
  </si>
  <si>
    <t>A425</t>
  </si>
  <si>
    <t xml:space="preserve">     * Gualdera 10*20* Viga B de 2,50m en sapán                              </t>
  </si>
  <si>
    <t>A426</t>
  </si>
  <si>
    <t xml:space="preserve">     * Gualdera 10*20* Viga C de 1,50m en sapán                                  </t>
  </si>
  <si>
    <t>A427</t>
  </si>
  <si>
    <t xml:space="preserve">     * Gualdera 10*20* Viga D de 2,50m en sapán                              </t>
  </si>
  <si>
    <t>A428</t>
  </si>
  <si>
    <t xml:space="preserve">     * Tablon para paso de escalera 0,30*0,04*1,00m en sapán         </t>
  </si>
  <si>
    <t>A429</t>
  </si>
  <si>
    <t xml:space="preserve">     * Tabla para contrapasos 0,025*0,15*1,00m en sapán               </t>
  </si>
  <si>
    <t>A43</t>
  </si>
  <si>
    <t>luminaria LED ORNAMENTAL DECO STEP</t>
  </si>
  <si>
    <t>A430</t>
  </si>
  <si>
    <t xml:space="preserve">     * Tablon para descanso 0,25*0,04*2,30m en sapán                     </t>
  </si>
  <si>
    <t>A431</t>
  </si>
  <si>
    <t xml:space="preserve">     * Planchon para Triangulos pasos  0,04*0,15*4,00m  en sapán    </t>
  </si>
  <si>
    <t>A432</t>
  </si>
  <si>
    <t>Quintuplex 18mm, acabado impranol</t>
  </si>
  <si>
    <t>A433</t>
  </si>
  <si>
    <t>Tabla burra</t>
  </si>
  <si>
    <t>A434</t>
  </si>
  <si>
    <t>Liston machihembrado 16.00x1.90cm en Sapan</t>
  </si>
  <si>
    <t>A435</t>
  </si>
  <si>
    <t>Repisa 0,10x0,05x1 m Sapan</t>
  </si>
  <si>
    <t>A436</t>
  </si>
  <si>
    <t>Laca base agua tipo carver italia</t>
  </si>
  <si>
    <t>LITRO</t>
  </si>
  <si>
    <t>A437</t>
  </si>
  <si>
    <t>Pintura para madera en exterior base solvente incoloro 5 lts profilan color plus</t>
  </si>
  <si>
    <t>A438</t>
  </si>
  <si>
    <t>Tapa canal galvanizada</t>
  </si>
  <si>
    <t>A439</t>
  </si>
  <si>
    <t>Sosco canal galvanizado</t>
  </si>
  <si>
    <t>A44</t>
  </si>
  <si>
    <t>Interruptor sencillo</t>
  </si>
  <si>
    <t>A440</t>
  </si>
  <si>
    <t>Inmunizante DURSBAN matacomegen DWT  x 30 C.C.</t>
  </si>
  <si>
    <t>A441</t>
  </si>
  <si>
    <t>Soporte canal metálica</t>
  </si>
  <si>
    <t>A442</t>
  </si>
  <si>
    <t>Bajante rectangular</t>
  </si>
  <si>
    <t>A443</t>
  </si>
  <si>
    <t>Soporte de bajante</t>
  </si>
  <si>
    <t>A444</t>
  </si>
  <si>
    <t>Pintura poliuretano</t>
  </si>
  <si>
    <t>A445</t>
  </si>
  <si>
    <t>Placa de fibrocemento de 10 mm</t>
  </si>
  <si>
    <t>A45</t>
  </si>
  <si>
    <t>Interruptor doble</t>
  </si>
  <si>
    <t>A46</t>
  </si>
  <si>
    <t>Interruptor conmutable</t>
  </si>
  <si>
    <t>A47</t>
  </si>
  <si>
    <t>Interruptor monopolar enchufable 20A, 10kA a 110V/ 6kA a 230V </t>
  </si>
  <si>
    <t>A48</t>
  </si>
  <si>
    <t>Interruptor bipolar enchufable 20A, 10kA a 110V/ 6kA a 230V</t>
  </si>
  <si>
    <t>A49</t>
  </si>
  <si>
    <t xml:space="preserve">Interruptor tripolar enchufable 20A, 10kA a 110V/ 6kA a 230V  </t>
  </si>
  <si>
    <t>A5</t>
  </si>
  <si>
    <t>Bloque No. 5</t>
  </si>
  <si>
    <t>A500</t>
  </si>
  <si>
    <t xml:space="preserve">Listón machihembrado de Sapan 16.00X1.90CM inmunizado </t>
  </si>
  <si>
    <t>A507</t>
  </si>
  <si>
    <t>Teja tipo “S” Natural Terracota santa fe o equivalente, (45.7x28.6cm 3.04kg)</t>
  </si>
  <si>
    <t>A508</t>
  </si>
  <si>
    <t>Caballete para teja tipo “S” Natural Terracota santa fe o equivalente</t>
  </si>
  <si>
    <t>A509</t>
  </si>
  <si>
    <t>Perfil omega 1 1/4 PG X 2.44</t>
  </si>
  <si>
    <t>A51</t>
  </si>
  <si>
    <t>Interruptor tripolar enchufable 32A, 10kA a 110V/ 6kA a 230V</t>
  </si>
  <si>
    <t>A511</t>
  </si>
  <si>
    <t>Canal en lámina galvanizada cal.20</t>
  </si>
  <si>
    <t>A513</t>
  </si>
  <si>
    <t>Pintura de impermeabilización tipo bronco elástico</t>
  </si>
  <si>
    <t>A514</t>
  </si>
  <si>
    <t>Soldadura de estaño</t>
  </si>
  <si>
    <t>GRAMO</t>
  </si>
  <si>
    <t>A516</t>
  </si>
  <si>
    <t>Caballete Forte Blanco 0.6X0.94mt 2mm UPVC</t>
  </si>
  <si>
    <t>A517</t>
  </si>
  <si>
    <t>Remate frontal parateja tipo sandwich</t>
  </si>
  <si>
    <t>A518</t>
  </si>
  <si>
    <t>Malla de gallinero de 2 1/2"</t>
  </si>
  <si>
    <t>A519</t>
  </si>
  <si>
    <t>Bloque de cemento de  0,2 x 0,2 x 0,1, para celosias</t>
  </si>
  <si>
    <t>A52</t>
  </si>
  <si>
    <t>Tablero de  enchufables de 12 circuitos con tapa, espacio para totalizador, barraje de tierras y neutro</t>
  </si>
  <si>
    <t>A520</t>
  </si>
  <si>
    <t>Grafil 5 mm</t>
  </si>
  <si>
    <t>A521</t>
  </si>
  <si>
    <t>Lámina Superboard 12 mm</t>
  </si>
  <si>
    <t>A522</t>
  </si>
  <si>
    <t>Cinta papel</t>
  </si>
  <si>
    <t>A523</t>
  </si>
  <si>
    <t>Tornillo autoperforante Placa Fibrocemento</t>
  </si>
  <si>
    <t>A524</t>
  </si>
  <si>
    <t>Perfil canal estructural para lamina x 2,44 m</t>
  </si>
  <si>
    <t>A525</t>
  </si>
  <si>
    <t>Lámina de yeso 1/2"</t>
  </si>
  <si>
    <t>A526</t>
  </si>
  <si>
    <t>Lámina de yaso 1/2 (RH)</t>
  </si>
  <si>
    <t>A527</t>
  </si>
  <si>
    <t>Pintura acrilica antihongo</t>
  </si>
  <si>
    <t>A528</t>
  </si>
  <si>
    <t>Dilatación en Z Dry Flex</t>
  </si>
  <si>
    <t>A529</t>
  </si>
  <si>
    <t xml:space="preserve">Frescasa Eco Sin Papel 2 1/2″ 7.5 x 1.20 </t>
  </si>
  <si>
    <t>A53</t>
  </si>
  <si>
    <t>Tablero de enchufables de 18 circuitos con tapa, espacio para totalizador, barraje de tierras y neutro</t>
  </si>
  <si>
    <t>A530</t>
  </si>
  <si>
    <t xml:space="preserve">Pegacor blanco </t>
  </si>
  <si>
    <t>A531</t>
  </si>
  <si>
    <t>Boquilla para junta Alfaquik Mocca</t>
  </si>
  <si>
    <t>A532</t>
  </si>
  <si>
    <t>Piso alfa gres tradición Mocca 30,5 x 30,5</t>
  </si>
  <si>
    <t>A533</t>
  </si>
  <si>
    <t>Pegacor gris</t>
  </si>
  <si>
    <t>A534</t>
  </si>
  <si>
    <t>Piso Alfa Oregon Cotto ,43x,90</t>
  </si>
  <si>
    <t>A535</t>
  </si>
  <si>
    <t>Pisos Alfa Alpes Grafito ,43x,90</t>
  </si>
  <si>
    <t>A536</t>
  </si>
  <si>
    <t>Guardascoba Alfa tablon tunes Mocca</t>
  </si>
  <si>
    <t>A537</t>
  </si>
  <si>
    <t>Guardascoba en madera Sapan, alto 15 cm, e=1 cm</t>
  </si>
  <si>
    <t>A538</t>
  </si>
  <si>
    <t xml:space="preserve">Placa Fibrocemento 20mm </t>
  </si>
  <si>
    <t>A539</t>
  </si>
  <si>
    <t>Tornillo avellanado 2 1/2"</t>
  </si>
  <si>
    <t>A54</t>
  </si>
  <si>
    <t>Tablero de  enchufables de 24 circuitos con tapa, espacio para totalizador, barraje de tierras y neutro</t>
  </si>
  <si>
    <t>A540</t>
  </si>
  <si>
    <t>Cinta Malla  fibra de vidrio</t>
  </si>
  <si>
    <t>A541</t>
  </si>
  <si>
    <t xml:space="preserve">Enchape muros Baños Nieve Blanco Glosy 0,30x0,60 tipo ALFA </t>
  </si>
  <si>
    <t>A542</t>
  </si>
  <si>
    <t>Polietileno negro cal 6</t>
  </si>
  <si>
    <t>A543</t>
  </si>
  <si>
    <t>Carton corrugado</t>
  </si>
  <si>
    <t>A544</t>
  </si>
  <si>
    <t xml:space="preserve">Piso Escalgre MOCCA  -ALFA  0,305*0,305  </t>
  </si>
  <si>
    <t>A545</t>
  </si>
  <si>
    <t xml:space="preserve">Piso  Porcelagres Baltico Grip - Alfa gres 0,30 x 0,30 </t>
  </si>
  <si>
    <t>A546</t>
  </si>
  <si>
    <t>Porcelanato 0.60 x 1.20m tipo alfa Atica gris</t>
  </si>
  <si>
    <t>A547</t>
  </si>
  <si>
    <t>Baldosa prepulida cuadrato 30x30 Amarillo, Tipo Alf</t>
  </si>
  <si>
    <t>A548</t>
  </si>
  <si>
    <t xml:space="preserve">Cañuela en concreto prefabricada (0,08*,030*1,00m), </t>
  </si>
  <si>
    <t>A549</t>
  </si>
  <si>
    <t>Piedra Rajon</t>
  </si>
  <si>
    <t>A55</t>
  </si>
  <si>
    <t>Planchon ordinario</t>
  </si>
  <si>
    <t>A550</t>
  </si>
  <si>
    <t>Manto asfáltico 3mm</t>
  </si>
  <si>
    <t>A551</t>
  </si>
  <si>
    <t>Granito blanco</t>
  </si>
  <si>
    <t>A552</t>
  </si>
  <si>
    <t>Manto asfáltico granulado o granillado 3 mm</t>
  </si>
  <si>
    <t>A553</t>
  </si>
  <si>
    <t>Impermeabilizante Sika plastocrete</t>
  </si>
  <si>
    <t>A554</t>
  </si>
  <si>
    <t>Soldadura Mig Autoprotegida</t>
  </si>
  <si>
    <t>A555</t>
  </si>
  <si>
    <t>Cinta Metalica 30 Metros para esquinas</t>
  </si>
  <si>
    <t>ROLLO</t>
  </si>
  <si>
    <t>A556</t>
  </si>
  <si>
    <t>A557</t>
  </si>
  <si>
    <t>Limahoya</t>
  </si>
  <si>
    <t>A56</t>
  </si>
  <si>
    <t>Tabla chapa ordinaria 0,3 m</t>
  </si>
  <si>
    <t>A6</t>
  </si>
  <si>
    <t xml:space="preserve">Cemento estructural </t>
  </si>
  <si>
    <t>cemex</t>
  </si>
  <si>
    <t>A68</t>
  </si>
  <si>
    <t xml:space="preserve">Cable Cu aislado tipo HFFR-LS No. 12 </t>
  </si>
  <si>
    <t>A69</t>
  </si>
  <si>
    <t xml:space="preserve">Alambre de cobre Desnudo No. 12  </t>
  </si>
  <si>
    <t>A7</t>
  </si>
  <si>
    <t>Grava de 1/2 de pulgada</t>
  </si>
  <si>
    <t>A70</t>
  </si>
  <si>
    <t xml:space="preserve">Tubo Metálico EMT Conduit Galvanizado de 1/2" x 1Mts </t>
  </si>
  <si>
    <t>A71</t>
  </si>
  <si>
    <t xml:space="preserve">Curva 90 EMT Conduit Galvanizado de 1/2" </t>
  </si>
  <si>
    <t>A72</t>
  </si>
  <si>
    <t xml:space="preserve">Terminal EMT conector de 1/2" </t>
  </si>
  <si>
    <t>A73</t>
  </si>
  <si>
    <t xml:space="preserve">Unión EMT de 1/2" </t>
  </si>
  <si>
    <t>A74</t>
  </si>
  <si>
    <t xml:space="preserve">Clavija con Cable encauchetado para conexión luminaria </t>
  </si>
  <si>
    <t>A75</t>
  </si>
  <si>
    <t xml:space="preserve">Cinta Scotch # 23 de 3/4 x10 mts </t>
  </si>
  <si>
    <t>A76</t>
  </si>
  <si>
    <t xml:space="preserve">Conector de Resorte Scotchlok O/B 22-12 3M </t>
  </si>
  <si>
    <t>A77</t>
  </si>
  <si>
    <t xml:space="preserve">Marquilla para cables transparente con amarre organizador </t>
  </si>
  <si>
    <t>A78</t>
  </si>
  <si>
    <t xml:space="preserve">Caja metálica octogonal galvanizada Cal 20 </t>
  </si>
  <si>
    <t>A79</t>
  </si>
  <si>
    <t xml:space="preserve">Tapa galvanizada ciega Octogonal </t>
  </si>
  <si>
    <t>A8</t>
  </si>
  <si>
    <t>Arena de río</t>
  </si>
  <si>
    <t>A80</t>
  </si>
  <si>
    <t xml:space="preserve">Kit Guaya alma de acero 1/8" X 1.0 m para sujeción de lámpara </t>
  </si>
  <si>
    <t>A81</t>
  </si>
  <si>
    <t xml:space="preserve">Tomacorriente doble con polo a tierra 5-15R (2P+T) </t>
  </si>
  <si>
    <t>A82</t>
  </si>
  <si>
    <t xml:space="preserve">Tomacorriente doble con polo a tierra 5-20R GFCI (2P+T) </t>
  </si>
  <si>
    <t>A83</t>
  </si>
  <si>
    <t>Terminal barril largo 8 AWG un ojo</t>
  </si>
  <si>
    <t>A85</t>
  </si>
  <si>
    <t xml:space="preserve">Suplemento metálico para caja 2400 </t>
  </si>
  <si>
    <t>A86</t>
  </si>
  <si>
    <t>A87</t>
  </si>
  <si>
    <t xml:space="preserve">Unión PVC de 1/2" </t>
  </si>
  <si>
    <t>A88</t>
  </si>
  <si>
    <t xml:space="preserve">Terminal PVC conector de 1/2" </t>
  </si>
  <si>
    <t>A89</t>
  </si>
  <si>
    <t xml:space="preserve">Cable Cu aislado tipo HFFR-LS No. 4/0 </t>
  </si>
  <si>
    <t>A9</t>
  </si>
  <si>
    <t>Agua</t>
  </si>
  <si>
    <t>A90</t>
  </si>
  <si>
    <t xml:space="preserve">Cable Cu aislado tipo HFFR-LS No. 4 </t>
  </si>
  <si>
    <t>A91</t>
  </si>
  <si>
    <t xml:space="preserve">Terminal barril largo 4/0 AWG un ojo </t>
  </si>
  <si>
    <t>A92</t>
  </si>
  <si>
    <t xml:space="preserve">Terminal barril largo 4 AWG un ojo </t>
  </si>
  <si>
    <t>A93</t>
  </si>
  <si>
    <t xml:space="preserve">Tubo Metálico EMT Conduit Galvanizado de 3" x 1Mts	 </t>
  </si>
  <si>
    <t>A94</t>
  </si>
  <si>
    <t xml:space="preserve">Curva 90 EMT Conduit Galvanizado de 3" </t>
  </si>
  <si>
    <t>A95</t>
  </si>
  <si>
    <t xml:space="preserve">Terminal EMT conector de 3" 	 </t>
  </si>
  <si>
    <t>A96</t>
  </si>
  <si>
    <t xml:space="preserve">Unión EMT de 3" </t>
  </si>
  <si>
    <t>A98</t>
  </si>
  <si>
    <t xml:space="preserve">Cable Cu aislado tipo HFFR-LS No. 2 </t>
  </si>
  <si>
    <t>A99</t>
  </si>
  <si>
    <t xml:space="preserve">Cable Cu aislado tipo HFFR-LS No. 8 </t>
  </si>
  <si>
    <t>A601</t>
  </si>
  <si>
    <t>Kilo de grafil corrugado</t>
  </si>
  <si>
    <t>D&amp;A ACEROS</t>
  </si>
  <si>
    <t>Construccion de cajas para fundida de columnas en casa de conservación (incluye …..)</t>
  </si>
  <si>
    <t xml:space="preserve">Alfajias de remate en muros de cubierta, en concreto prefabricado Alfajia 2 caída, con gotero,  Largo. 1,00 Mts, ancho 0,25cm  Concreto 3000 ver detalle </t>
  </si>
  <si>
    <t>ANÁLISIS DE PRECIOS UNITARIOS</t>
  </si>
  <si>
    <t>Página: 1 de</t>
  </si>
  <si>
    <t>AÑO</t>
  </si>
  <si>
    <t>OBJETO DEL CONTRATO</t>
  </si>
  <si>
    <t>ITEM:</t>
  </si>
  <si>
    <t>UNIDAD:</t>
  </si>
  <si>
    <t>1. EQUIPO</t>
  </si>
  <si>
    <t>RENDIMIENTO</t>
  </si>
  <si>
    <t>VALOR UNIT</t>
  </si>
  <si>
    <t>SUBTOTAL</t>
  </si>
  <si>
    <t>2. MATERIALES EN OBRA</t>
  </si>
  <si>
    <t xml:space="preserve">Simbra </t>
  </si>
  <si>
    <t>kg</t>
  </si>
  <si>
    <t xml:space="preserve">hilo </t>
  </si>
  <si>
    <t>Estaca</t>
  </si>
  <si>
    <t>UN</t>
  </si>
  <si>
    <t>3. TRANSPORTES</t>
  </si>
  <si>
    <t>VOL/PES/DIS</t>
  </si>
  <si>
    <t>4. MANO DE OBRA</t>
  </si>
  <si>
    <t>TOTAL</t>
  </si>
  <si>
    <t>TOTAL COSTO DIRECTO</t>
  </si>
  <si>
    <t>GLB</t>
  </si>
  <si>
    <t>E133</t>
  </si>
  <si>
    <t>Aditivo antihongo</t>
  </si>
  <si>
    <t>A5555</t>
  </si>
  <si>
    <t>Kg</t>
  </si>
  <si>
    <t>Antihongo  aditivo y algas</t>
  </si>
  <si>
    <t>Sika Impermur Barrera Impermeabilizante Muro Humedad 4kg</t>
  </si>
  <si>
    <t>Pelicula para ventanales (0,8m*2m)</t>
  </si>
  <si>
    <t>Silicona transparente para ventana x300 ml</t>
  </si>
  <si>
    <t>Undad</t>
  </si>
  <si>
    <t xml:space="preserve"> Piedra Natural Muñeca Crema 30X60Cm 2Cm Espesor Caja X 1.08M2</t>
  </si>
  <si>
    <t>Reparación de muro en mampostería en zonas afectadas (Incluye suministro y colocación de ladrillo tolete, mortero de pega)</t>
  </si>
  <si>
    <t>Mortero depega</t>
  </si>
  <si>
    <t>m3</t>
  </si>
  <si>
    <t>Grout para reparacion</t>
  </si>
  <si>
    <t>Pintura anticorrosiva color gris</t>
  </si>
  <si>
    <t>Pintura koraza</t>
  </si>
  <si>
    <t>Mortero 1:3</t>
  </si>
  <si>
    <t>ventana3+3 con cinta de seguridad</t>
  </si>
  <si>
    <t>a126</t>
  </si>
  <si>
    <t>grapas para malla</t>
  </si>
  <si>
    <t>Un</t>
  </si>
  <si>
    <t>SUBTOTAL OBRAS (INCLUYE IVA)</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</si>
  <si>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</si>
  <si>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</si>
  <si>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</si>
  <si>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</si>
  <si>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</si>
  <si>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</si>
  <si>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</si>
  <si>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</si>
  <si>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</si>
  <si>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</si>
  <si>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</si>
  <si>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</si>
  <si>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Equipos para medicion de areas de fachadas (Telemetros laser, estacion total)</t>
  </si>
  <si>
    <t>Bloque en cemento</t>
  </si>
  <si>
    <t>“Contratar por el sistema de precios unitarios fijos, sin fórmula de reajuste el mantenimiento de la fachada exterior de la sede central del Servicio Geológico Colombiano, conforme a las especificaciones técnicas de la Entidad”</t>
  </si>
  <si>
    <t>Objeto:</t>
  </si>
  <si>
    <t xml:space="preserve">5%
</t>
  </si>
  <si>
    <t>Reparacion de marcos de ventaneria metalica (Incluye rectificación, lijado, pintura anticorrosiva y lacado).</t>
  </si>
  <si>
    <t>M3/KM</t>
  </si>
  <si>
    <t>Volqueta sencilla X 6 M3 (transporte de material de retiro y/o demolición a punto de disposición a 30 lm aprox.)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</si>
</sst>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2" formatCode="_-&quot;$&quot;\ * #,##0_-;\-&quot;$&quot;\ * #,##0_-;_-&quot;$&quot;\ * &quot;-&quot;_-;_-@_-"/>
    <numFmt numFmtId="44" formatCode="_-&quot;$&quot;\ * #,##0.00_-;\-&quot;$&quot;\ * #,##0.00_-;_-&quot;$&quot;\ * &quot;-&quot;??_-;_-@_-"/>
    <numFmt numFmtId="43" formatCode="_-* #,##0.00_-;\-* #,##0.00_-;_-* &quot;-&quot;??_-;_-@_-"/>
    <numFmt numFmtId="164" formatCode="_-* #,##0.00_-;\-* #,##0.00_-;_-* &quot;-&quot;??_-;_-@"/>
    <numFmt numFmtId="165" formatCode="_-&quot;$&quot;\ * #,##0.00_-;\-&quot;$&quot;\ * #,##0.00_-;_-&quot;$&quot;\ * &quot;-&quot;??_-;_-@"/>
    <numFmt numFmtId="166" formatCode="_-* #,##0.0_-;\-* #,##0.0_-;_-* &quot;-&quot;??_-;_-@"/>
    <numFmt numFmtId="167" formatCode="_-&quot;$&quot;\ * #,##0_-;\-&quot;$&quot;\ * #,##0_-;_-&quot;$&quot;\ * &quot;-&quot;??_-;_-@_-"/>
    <numFmt numFmtId="168" formatCode="_-[$$-240A]\ * #,##0.00_-;\-[$$-240A]\ * #,##0.00_-;_-[$$-240A]\ * &quot;-&quot;??_-;_-@_-"/>
    <numFmt numFmtId="169" formatCode="_-&quot;$&quot;\ * #,##0_-;\-&quot;$&quot;\ * #,##0_-;_-&quot;$&quot;\ * &quot;-&quot;??_-;_-@"/>
    <numFmt numFmtId="170" formatCode="_ * #,##0.00_ ;_ * \-#,##0.00_ ;_ * &quot;-&quot;??_ ;_ @_ "/>
    <numFmt numFmtId="171" formatCode="_ * #,##0_ ;_ * \-#,##0_ ;_ * &quot;-&quot;_ ;_ @_ "/>
    <numFmt numFmtId="172" formatCode="_-[$$-240A]\ * #,##0.00_-;\-[$$-240A]\ * #,##0.00_-;_-[$$-240A]\ * &quot;-&quot;??_-;_-@"/>
    <numFmt numFmtId="173" formatCode="0.000"/>
    <numFmt numFmtId="174" formatCode="_(* #,##0.0_);_(* \(#,##0.0\);_(* &quot;-&quot;??_);_(@_)"/>
    <numFmt numFmtId="175" formatCode="&quot;$&quot;\ #,##0.00"/>
    <numFmt numFmtId="176" formatCode="_(* #,##0.00_);_(* \(#,##0.00\);_(* &quot;-&quot;??_);_(@_)"/>
    <numFmt numFmtId="177" formatCode="[$$-240A]\ #,##0.00"/>
    <numFmt numFmtId="178" formatCode="0#.00\ \L\t"/>
    <numFmt numFmtId="179" formatCode="_-[$$-240A]\ * #,##0.00_ ;_-[$$-240A]\ * \-#,##0.00\ ;_-[$$-240A]\ * &quot;-&quot;??_ ;_-@_ "/>
    <numFmt numFmtId="180" formatCode="_ * #,##0.000_ ;_ * \-#,##0.000_ ;_ * &quot;-&quot;??_ ;_ @_ "/>
    <numFmt numFmtId="181" formatCode="_ * #,##0.0000_ ;_ * \-#,##0.0000_ ;_ * &quot;-&quot;??_ ;_ @_ "/>
  </numFmts>
  <fonts count="38" x14ac:knownFonts="1">
    <font>
      <sz val="11"/>
      <color theme="1"/>
      <name val="Aptos Narrow"/>
      <family val="2"/>
      <scheme val="minor"/>
    </font>
    <font>
      <sz val="10"/>
      <color theme="1"/>
      <name val="Arial"/>
      <family val="2"/>
    </font>
    <font>
      <b/>
      <sz val="16"/>
      <color rgb="FF000000"/>
      <name val="Arial Narrow"/>
      <family val="2"/>
    </font>
    <font>
      <sz val="11"/>
      <name val="Aptos Narrow"/>
      <family val="2"/>
    </font>
    <font>
      <b/>
      <sz val="11"/>
      <color theme="6"/>
      <name val="Arial Narrow"/>
      <family val="2"/>
    </font>
    <font>
      <b/>
      <sz val="11"/>
      <color theme="1"/>
      <name val="Arial Narrow"/>
      <family val="2"/>
    </font>
    <font>
      <sz val="11"/>
      <color rgb="FF000000"/>
      <name val="Arial Narrow"/>
      <family val="2"/>
    </font>
    <font>
      <sz val="11"/>
      <color theme="1"/>
      <name val="Arial Narrow"/>
      <family val="2"/>
    </font>
    <font>
      <b/>
      <sz val="11"/>
      <color rgb="FF000000"/>
      <name val="Arial Narrow"/>
      <family val="2"/>
    </font>
    <font>
      <b/>
      <sz val="11"/>
      <color theme="1"/>
      <name val="Aptos Narrow"/>
      <family val="2"/>
      <scheme val="minor"/>
    </font>
    <font>
      <sz val="11"/>
      <name val="Arial Narrow"/>
      <family val="2"/>
    </font>
    <font>
      <sz val="10"/>
      <color rgb="FF000000"/>
      <name val="Aptos Narrow"/>
      <family val="2"/>
      <scheme val="minor"/>
    </font>
    <font>
      <b/>
      <sz val="10"/>
      <color theme="1"/>
      <name val="Arial"/>
      <family val="2"/>
    </font>
    <font>
      <b/>
      <sz val="10"/>
      <name val="Arial"/>
      <family val="2"/>
    </font>
    <font>
      <b/>
      <sz val="10"/>
      <color rgb="FF000000"/>
      <name val="Aptos Narrow"/>
      <family val="2"/>
      <scheme val="minor"/>
    </font>
    <font>
      <sz val="9"/>
      <color theme="1"/>
      <name val="Arial"/>
      <family val="2"/>
    </font>
    <font>
      <sz val="10"/>
      <name val="Arial"/>
      <family val="2"/>
    </font>
    <font>
      <b/>
      <sz val="9"/>
      <name val="Tahoma"/>
      <family val="2"/>
    </font>
    <font>
      <b/>
      <sz val="9"/>
      <color theme="1"/>
      <name val="Arial"/>
      <family val="2"/>
    </font>
    <font>
      <sz val="9"/>
      <name val="Arial"/>
      <family val="2"/>
    </font>
    <font>
      <sz val="10"/>
      <color rgb="FF000000"/>
      <name val="Arial"/>
      <family val="2"/>
    </font>
    <font>
      <sz val="9"/>
      <color rgb="FFFF0000"/>
      <name val="Arial"/>
      <family val="2"/>
    </font>
    <font>
      <sz val="10"/>
      <name val="Aptos Narrow"/>
      <family val="2"/>
      <scheme val="minor"/>
    </font>
    <font>
      <vertAlign val="subscript"/>
      <sz val="10"/>
      <color theme="1"/>
      <name val="Arial"/>
      <family val="2"/>
    </font>
    <font>
      <sz val="10"/>
      <color rgb="FFFF0000"/>
      <name val="Arial"/>
      <family val="2"/>
    </font>
    <font>
      <sz val="10"/>
      <color rgb="FF385623"/>
      <name val="Arial"/>
      <family val="2"/>
    </font>
    <font>
      <sz val="9"/>
      <color rgb="FF333333"/>
      <name val="Aptos Narrow"/>
      <family val="2"/>
      <scheme val="minor"/>
    </font>
    <font>
      <sz val="12"/>
      <color theme="1"/>
      <name val="Arial"/>
      <family val="2"/>
    </font>
    <font>
      <b/>
      <sz val="12"/>
      <color theme="1"/>
      <name val="Arial"/>
      <family val="2"/>
    </font>
    <font>
      <b/>
      <sz val="16"/>
      <color theme="1"/>
      <name val="Arial"/>
      <family val="2"/>
    </font>
    <font>
      <sz val="10"/>
      <color rgb="FF000000"/>
      <name val="Calibri"/>
      <family val="2"/>
    </font>
    <font>
      <sz val="16"/>
      <color theme="1"/>
      <name val="Arial"/>
      <family val="2"/>
    </font>
    <font>
      <b/>
      <sz val="8"/>
      <color rgb="FFFF0000"/>
      <name val="Arial"/>
      <family val="2"/>
    </font>
    <font>
      <b/>
      <u/>
      <sz val="12"/>
      <color theme="1"/>
      <name val="Arial"/>
      <family val="2"/>
    </font>
    <font>
      <i/>
      <sz val="12"/>
      <color theme="1"/>
      <name val="Arial"/>
      <family val="2"/>
    </font>
    <font>
      <sz val="11"/>
      <name val="Verdana"/>
      <family val="2"/>
    </font>
    <font>
      <b/>
      <sz val="11"/>
      <name val="Verdana"/>
      <family val="2"/>
    </font>
    <font>
      <sz val="11"/>
      <color theme="1"/>
      <name val="Aptos Narrow"/>
      <family val="2"/>
      <scheme val="minor"/>
    </font>
  </fonts>
  <fills count="13">
    <fill>
      <patternFill patternType="none"/>
    </fill>
    <fill>
      <patternFill patternType="gray125"/>
    </fill>
    <fill>
      <patternFill patternType="solid">
        <fgColor rgb="FFDAE9F8"/>
        <bgColor indexed="64"/>
      </patternFill>
    </fill>
    <fill>
      <patternFill patternType="solid">
        <fgColor rgb="FFD9F2D0"/>
        <bgColor indexed="64"/>
      </patternFill>
    </fill>
    <fill>
      <patternFill patternType="solid">
        <fgColor rgb="FF808080"/>
        <bgColor indexed="64"/>
      </patternFill>
    </fill>
    <fill>
      <patternFill patternType="solid">
        <fgColor rgb="FFFFFF00"/>
        <bgColor indexed="64"/>
      </patternFill>
    </fill>
    <fill>
      <patternFill patternType="solid">
        <fgColor rgb="FFE2EFD9"/>
        <bgColor indexed="64"/>
      </patternFill>
    </fill>
    <fill>
      <patternFill patternType="solid">
        <fgColor theme="9" tint="0.59996337778862885"/>
        <bgColor indexed="64"/>
      </patternFill>
    </fill>
    <fill>
      <patternFill patternType="solid">
        <fgColor theme="9" tint="0.79995117038483843"/>
        <bgColor indexed="64"/>
      </patternFill>
    </fill>
    <fill>
      <patternFill patternType="solid">
        <fgColor rgb="FFF4B083"/>
        <bgColor indexed="64"/>
      </patternFill>
    </fill>
    <fill>
      <patternFill patternType="solid">
        <fgColor rgb="FFD9EAD3"/>
        <bgColor indexed="64"/>
      </patternFill>
    </fill>
    <fill>
      <patternFill patternType="solid">
        <fgColor rgb="FFBFBFBF"/>
        <bgColor indexed="64"/>
      </patternFill>
    </fill>
    <fill>
      <patternFill patternType="solid">
        <fgColor theme="0"/>
        <bgColor indexed="64"/>
      </patternFill>
    </fill>
  </fills>
  <borders count="131">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auto="1"/>
      </left>
      <right style="thin">
        <color auto="1"/>
      </right>
      <top style="thin">
        <color auto="1"/>
      </top>
      <bottom style="thin">
        <color auto="1"/>
      </bottom>
      <diagonal/>
    </border>
    <border>
      <left style="medium">
        <color auto="1"/>
      </left>
      <right/>
      <top/>
      <bottom style="thin">
        <color rgb="FF000000"/>
      </bottom>
      <diagonal/>
    </border>
    <border>
      <left/>
      <right style="medium">
        <color auto="1"/>
      </right>
      <top/>
      <bottom style="thin">
        <color rgb="FF000000"/>
      </bottom>
      <diagonal/>
    </border>
    <border>
      <left style="medium">
        <color auto="1"/>
      </left>
      <right style="thin">
        <color rgb="FF000000"/>
      </right>
      <top style="thin">
        <color rgb="FF000000"/>
      </top>
      <bottom style="thin">
        <color rgb="FF000000"/>
      </bottom>
      <diagonal/>
    </border>
    <border>
      <left/>
      <right style="medium">
        <color auto="1"/>
      </right>
      <top style="thin">
        <color rgb="FF000000"/>
      </top>
      <bottom style="thin">
        <color rgb="FF000000"/>
      </bottom>
      <diagonal/>
    </border>
    <border>
      <left/>
      <right style="medium">
        <color auto="1"/>
      </right>
      <top style="thin">
        <color rgb="FF000000"/>
      </top>
      <bottom/>
      <diagonal/>
    </border>
    <border>
      <left style="medium">
        <color auto="1"/>
      </left>
      <right style="thin">
        <color auto="1"/>
      </right>
      <top style="thin">
        <color auto="1"/>
      </top>
      <bottom style="thin">
        <color auto="1"/>
      </bottom>
      <diagonal/>
    </border>
    <border>
      <left style="medium">
        <color auto="1"/>
      </left>
      <right style="thin">
        <color rgb="FF000000"/>
      </right>
      <top style="medium">
        <color auto="1"/>
      </top>
      <bottom style="thin">
        <color rgb="FF000000"/>
      </bottom>
      <diagonal/>
    </border>
    <border>
      <left style="thin">
        <color auto="1"/>
      </left>
      <right style="medium">
        <color auto="1"/>
      </right>
      <top style="thin">
        <color auto="1"/>
      </top>
      <bottom style="thin">
        <color auto="1"/>
      </bottom>
      <diagonal/>
    </border>
    <border>
      <left/>
      <right style="medium">
        <color auto="1"/>
      </right>
      <top/>
      <bottom/>
      <diagonal/>
    </border>
    <border>
      <left style="thin">
        <color auto="1"/>
      </left>
      <right style="medium">
        <color auto="1"/>
      </right>
      <top style="thin">
        <color auto="1"/>
      </top>
      <bottom style="medium">
        <color auto="1"/>
      </bottom>
      <diagonal/>
    </border>
    <border>
      <left style="medium">
        <color auto="1"/>
      </left>
      <right/>
      <top style="thin">
        <color rgb="FF000000"/>
      </top>
      <bottom/>
      <diagonal/>
    </border>
    <border>
      <left/>
      <right/>
      <top style="thin">
        <color rgb="FF000000"/>
      </top>
      <bottom style="thin">
        <color rgb="FF000000"/>
      </bottom>
      <diagonal/>
    </border>
    <border>
      <left style="thin">
        <color auto="1"/>
      </left>
      <right/>
      <top style="thin">
        <color auto="1"/>
      </top>
      <bottom style="thin">
        <color auto="1"/>
      </bottom>
      <diagonal/>
    </border>
    <border>
      <left style="thin">
        <color rgb="FF000000"/>
      </left>
      <right style="thin">
        <color rgb="FF000000"/>
      </right>
      <top style="medium">
        <color auto="1"/>
      </top>
      <bottom style="thin">
        <color rgb="FF000000"/>
      </bottom>
      <diagonal/>
    </border>
    <border>
      <left/>
      <right style="thin">
        <color rgb="FF000000"/>
      </right>
      <top style="medium">
        <color auto="1"/>
      </top>
      <bottom style="thin">
        <color rgb="FF000000"/>
      </bottom>
      <diagonal/>
    </border>
    <border>
      <left/>
      <right style="medium">
        <color auto="1"/>
      </right>
      <top style="medium">
        <color auto="1"/>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auto="1"/>
      </left>
      <right/>
      <top/>
      <bottom/>
      <diagonal/>
    </border>
    <border>
      <left style="thin">
        <color rgb="FF000000"/>
      </left>
      <right/>
      <top/>
      <bottom/>
      <diagonal/>
    </border>
    <border>
      <left/>
      <right style="thin">
        <color rgb="FF000000"/>
      </right>
      <top/>
      <bottom style="thin">
        <color rgb="FF000000"/>
      </bottom>
      <diagonal/>
    </border>
    <border>
      <left/>
      <right style="thin">
        <color rgb="FF000000"/>
      </right>
      <top style="thin">
        <color rgb="FF000000"/>
      </top>
      <bottom/>
      <diagonal/>
    </border>
    <border>
      <left style="thin">
        <color auto="1"/>
      </left>
      <right style="thin">
        <color auto="1"/>
      </right>
      <top style="thin">
        <color auto="1"/>
      </top>
      <bottom/>
      <diagonal/>
    </border>
    <border>
      <left style="thin">
        <color auto="1"/>
      </left>
      <right/>
      <top style="thin">
        <color auto="1"/>
      </top>
      <bottom/>
      <diagonal/>
    </border>
    <border>
      <left style="medium">
        <color rgb="FF000000"/>
      </left>
      <right/>
      <top/>
      <bottom/>
      <diagonal/>
    </border>
    <border>
      <left/>
      <right style="medium">
        <color rgb="FF000000"/>
      </right>
      <top/>
      <bottom/>
      <diagonal/>
    </border>
    <border>
      <left style="thin">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rgb="FF000000"/>
      </right>
      <top/>
      <bottom style="thin">
        <color rgb="FF000000"/>
      </bottom>
      <diagonal/>
    </border>
    <border>
      <left style="thin">
        <color rgb="FF000000"/>
      </left>
      <right style="medium">
        <color auto="1"/>
      </right>
      <top style="thin">
        <color rgb="FF000000"/>
      </top>
      <bottom style="thin">
        <color rgb="FF000000"/>
      </bottom>
      <diagonal/>
    </border>
    <border>
      <left style="medium">
        <color auto="1"/>
      </left>
      <right/>
      <top/>
      <bottom/>
      <diagonal/>
    </border>
    <border>
      <left style="medium">
        <color auto="1"/>
      </left>
      <right/>
      <top style="medium">
        <color rgb="FF000000"/>
      </top>
      <bottom style="medium">
        <color auto="1"/>
      </bottom>
      <diagonal/>
    </border>
    <border>
      <left/>
      <right style="medium">
        <color rgb="FF000000"/>
      </right>
      <top style="medium">
        <color rgb="FF000000"/>
      </top>
      <bottom style="medium">
        <color auto="1"/>
      </bottom>
      <diagonal/>
    </border>
    <border>
      <left/>
      <right/>
      <top/>
      <bottom style="medium">
        <color auto="1"/>
      </bottom>
      <diagonal/>
    </border>
    <border>
      <left/>
      <right style="medium">
        <color auto="1"/>
      </right>
      <top/>
      <bottom style="medium">
        <color auto="1"/>
      </bottom>
      <diagonal/>
    </border>
    <border>
      <left style="medium">
        <color rgb="FF000000"/>
      </left>
      <right style="thin">
        <color rgb="FF000000"/>
      </right>
      <top/>
      <bottom style="medium">
        <color rgb="FF000000"/>
      </bottom>
      <diagonal/>
    </border>
    <border>
      <left/>
      <right style="thin">
        <color rgb="FF000000"/>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auto="1"/>
      </left>
      <right style="thin">
        <color rgb="FF000000"/>
      </right>
      <top style="medium">
        <color auto="1"/>
      </top>
      <bottom style="medium">
        <color auto="1"/>
      </bottom>
      <diagonal/>
    </border>
    <border>
      <left/>
      <right style="thin">
        <color rgb="FF000000"/>
      </right>
      <top style="medium">
        <color auto="1"/>
      </top>
      <bottom style="medium">
        <color auto="1"/>
      </bottom>
      <diagonal/>
    </border>
    <border>
      <left/>
      <right style="medium">
        <color auto="1"/>
      </right>
      <top style="medium">
        <color auto="1"/>
      </top>
      <bottom style="medium">
        <color auto="1"/>
      </bottom>
      <diagonal/>
    </border>
    <border>
      <left style="thin">
        <color rgb="FF000000"/>
      </left>
      <right style="medium">
        <color auto="1"/>
      </right>
      <top/>
      <bottom style="thin">
        <color rgb="FF000000"/>
      </bottom>
      <diagonal/>
    </border>
    <border>
      <left style="medium">
        <color rgb="FF000000"/>
      </left>
      <right style="thin">
        <color rgb="FF000000"/>
      </right>
      <top/>
      <bottom/>
      <diagonal/>
    </border>
    <border>
      <left style="medium">
        <color auto="1"/>
      </left>
      <right style="thin">
        <color rgb="FF000000"/>
      </right>
      <top style="medium">
        <color rgb="FF000000"/>
      </top>
      <bottom style="medium">
        <color rgb="FF000000"/>
      </bottom>
      <diagonal/>
    </border>
    <border>
      <left style="thin">
        <color rgb="FF000000"/>
      </left>
      <right style="medium">
        <color auto="1"/>
      </right>
      <top style="medium">
        <color rgb="FF000000"/>
      </top>
      <bottom style="medium">
        <color rgb="FF000000"/>
      </bottom>
      <diagonal/>
    </border>
    <border>
      <left style="medium">
        <color auto="1"/>
      </left>
      <right/>
      <top style="medium">
        <color rgb="FF000000"/>
      </top>
      <bottom/>
      <diagonal/>
    </border>
    <border>
      <left style="thin">
        <color rgb="FF000000"/>
      </left>
      <right style="medium">
        <color auto="1"/>
      </right>
      <top style="medium">
        <color rgb="FF000000"/>
      </top>
      <bottom style="thin">
        <color rgb="FF000000"/>
      </bottom>
      <diagonal/>
    </border>
    <border>
      <left style="medium">
        <color auto="1"/>
      </left>
      <right style="thin">
        <color rgb="FF000000"/>
      </right>
      <top/>
      <bottom style="medium">
        <color rgb="FF000000"/>
      </bottom>
      <diagonal/>
    </border>
    <border>
      <left/>
      <right style="medium">
        <color auto="1"/>
      </right>
      <top/>
      <bottom style="medium">
        <color rgb="FF000000"/>
      </bottom>
      <diagonal/>
    </border>
    <border>
      <left style="medium">
        <color auto="1"/>
      </left>
      <right/>
      <top style="medium">
        <color rgb="FF000000"/>
      </top>
      <bottom style="medium">
        <color rgb="FF000000"/>
      </bottom>
      <diagonal/>
    </border>
    <border>
      <left/>
      <right style="medium">
        <color auto="1"/>
      </right>
      <top style="medium">
        <color rgb="FF000000"/>
      </top>
      <bottom style="medium">
        <color rgb="FF000000"/>
      </bottom>
      <diagonal/>
    </border>
    <border>
      <left style="medium">
        <color auto="1"/>
      </left>
      <right/>
      <top/>
      <bottom style="medium">
        <color auto="1"/>
      </bottom>
      <diagonal/>
    </border>
    <border>
      <left style="medium">
        <color auto="1"/>
      </left>
      <right/>
      <top style="thin">
        <color auto="1"/>
      </top>
      <bottom/>
      <diagonal/>
    </border>
    <border>
      <left/>
      <right/>
      <top style="thin">
        <color auto="1"/>
      </top>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style="medium">
        <color auto="1"/>
      </left>
      <right/>
      <top style="medium">
        <color auto="1"/>
      </top>
      <bottom style="medium">
        <color rgb="FF000000"/>
      </bottom>
      <diagonal/>
    </border>
    <border>
      <left/>
      <right/>
      <top style="medium">
        <color auto="1"/>
      </top>
      <bottom style="medium">
        <color rgb="FF000000"/>
      </bottom>
      <diagonal/>
    </border>
    <border>
      <left/>
      <right style="medium">
        <color auto="1"/>
      </right>
      <top style="medium">
        <color auto="1"/>
      </top>
      <bottom style="medium">
        <color rgb="FF000000"/>
      </bottom>
      <diagonal/>
    </border>
    <border>
      <left/>
      <right/>
      <top style="medium">
        <color rgb="FF000000"/>
      </top>
      <bottom style="medium">
        <color rgb="FF000000"/>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top style="thin">
        <color auto="1"/>
      </top>
      <bottom style="thin">
        <color auto="1"/>
      </bottom>
      <diagonal/>
    </border>
    <border>
      <left/>
      <right/>
      <top style="medium">
        <color rgb="FF000000"/>
      </top>
      <bottom style="medium">
        <color auto="1"/>
      </bottom>
      <diagonal/>
    </border>
    <border>
      <left/>
      <right style="medium">
        <color auto="1"/>
      </right>
      <top style="medium">
        <color rgb="FF000000"/>
      </top>
      <bottom style="medium">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style="thin">
        <color rgb="FF000000"/>
      </left>
      <right/>
      <top/>
      <bottom style="medium">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thin">
        <color rgb="FF000000"/>
      </right>
      <top style="thin">
        <color auto="1"/>
      </top>
      <bottom style="thin">
        <color rgb="FF000000"/>
      </bottom>
      <diagonal/>
    </border>
    <border>
      <left style="thin">
        <color rgb="FF000000"/>
      </left>
      <right/>
      <top style="medium">
        <color auto="1"/>
      </top>
      <bottom style="medium">
        <color rgb="FF000000"/>
      </bottom>
      <diagonal/>
    </border>
    <border>
      <left/>
      <right style="thin">
        <color rgb="FF000000"/>
      </right>
      <top style="medium">
        <color auto="1"/>
      </top>
      <bottom style="medium">
        <color rgb="FF000000"/>
      </bottom>
      <diagonal/>
    </border>
    <border>
      <left style="medium">
        <color auto="1"/>
      </left>
      <right/>
      <top style="medium">
        <color auto="1"/>
      </top>
      <bottom style="medium">
        <color auto="1"/>
      </bottom>
      <diagonal/>
    </border>
    <border>
      <left style="thin">
        <color rgb="FF000000"/>
      </left>
      <right/>
      <top style="medium">
        <color rgb="FF000000"/>
      </top>
      <bottom style="thin">
        <color auto="1"/>
      </bottom>
      <diagonal/>
    </border>
    <border>
      <left/>
      <right/>
      <top style="medium">
        <color rgb="FF000000"/>
      </top>
      <bottom style="thin">
        <color auto="1"/>
      </bottom>
      <diagonal/>
    </border>
    <border>
      <left/>
      <right style="thin">
        <color auto="1"/>
      </right>
      <top style="medium">
        <color rgb="FF000000"/>
      </top>
      <bottom style="thin">
        <color auto="1"/>
      </bottom>
      <diagonal/>
    </border>
    <border>
      <left style="thin">
        <color rgb="FF000000"/>
      </left>
      <right/>
      <top style="medium">
        <color auto="1"/>
      </top>
      <bottom style="medium">
        <color auto="1"/>
      </bottom>
      <diagonal/>
    </border>
    <border>
      <left style="thin">
        <color rgb="FF000000"/>
      </left>
      <right/>
      <top style="thin">
        <color auto="1"/>
      </top>
      <bottom style="thin">
        <color auto="1"/>
      </bottom>
      <diagonal/>
    </border>
    <border>
      <left style="thin">
        <color rgb="FF000000"/>
      </left>
      <right/>
      <top style="medium">
        <color auto="1"/>
      </top>
      <bottom/>
      <diagonal/>
    </border>
    <border>
      <left/>
      <right/>
      <top style="medium">
        <color auto="1"/>
      </top>
      <bottom/>
      <diagonal/>
    </border>
    <border>
      <left/>
      <right style="thin">
        <color rgb="FF000000"/>
      </right>
      <top style="medium">
        <color auto="1"/>
      </top>
      <bottom/>
      <diagonal/>
    </border>
    <border>
      <left style="thin">
        <color rgb="FF000000"/>
      </left>
      <right/>
      <top/>
      <bottom style="thin">
        <color rgb="FF000000"/>
      </bottom>
      <diagonal/>
    </border>
    <border>
      <left style="medium">
        <color auto="1"/>
      </left>
      <right/>
      <top style="medium">
        <color auto="1"/>
      </top>
      <bottom/>
      <diagonal/>
    </border>
    <border>
      <left style="medium">
        <color auto="1"/>
      </left>
      <right/>
      <top/>
      <bottom style="medium">
        <color rgb="FF000000"/>
      </bottom>
      <diagonal/>
    </border>
    <border>
      <left/>
      <right style="medium">
        <color auto="1"/>
      </right>
      <top style="medium">
        <color auto="1"/>
      </top>
      <bottom/>
      <diagonal/>
    </border>
    <border>
      <left/>
      <right style="medium">
        <color auto="1"/>
      </right>
      <top style="medium">
        <color rgb="FF000000"/>
      </top>
      <bottom/>
      <diagonal/>
    </border>
    <border>
      <left/>
      <right style="thin">
        <color auto="1"/>
      </right>
      <top/>
      <bottom style="medium">
        <color auto="1"/>
      </bottom>
      <diagonal/>
    </border>
    <border>
      <left/>
      <right style="medium">
        <color auto="1"/>
      </right>
      <top style="medium">
        <color auto="1"/>
      </top>
      <bottom style="thin">
        <color auto="1"/>
      </bottom>
      <diagonal/>
    </border>
    <border>
      <left style="thin">
        <color auto="1"/>
      </left>
      <right style="medium">
        <color auto="1"/>
      </right>
      <top/>
      <bottom style="thin">
        <color auto="1"/>
      </bottom>
      <diagonal/>
    </border>
    <border>
      <left/>
      <right style="medium">
        <color auto="1"/>
      </right>
      <top style="thin">
        <color auto="1"/>
      </top>
      <bottom style="thin">
        <color auto="1"/>
      </bottom>
      <diagonal/>
    </border>
    <border>
      <left/>
      <right style="thin">
        <color auto="1"/>
      </right>
      <top/>
      <bottom style="thin">
        <color auto="1"/>
      </bottom>
      <diagonal/>
    </border>
  </borders>
  <cellStyleXfs count="15">
    <xf numFmtId="0" fontId="0" fillId="0" borderId="0"/>
    <xf numFmtId="9" fontId="16" fillId="0" borderId="0" applyFont="0" applyFill="0" applyBorder="0" applyAlignment="0" applyProtection="0"/>
    <xf numFmtId="9" fontId="37" fillId="0" borderId="0" applyFont="0" applyFill="0" applyBorder="0" applyAlignment="0" applyProtection="0"/>
    <xf numFmtId="0" fontId="37" fillId="0" borderId="0"/>
    <xf numFmtId="0" fontId="37" fillId="0" borderId="0"/>
    <xf numFmtId="44" fontId="37" fillId="0" borderId="0" applyFont="0" applyFill="0" applyBorder="0" applyAlignment="0" applyProtection="0"/>
    <xf numFmtId="0" fontId="11" fillId="0" borderId="0"/>
    <xf numFmtId="44" fontId="11" fillId="0" borderId="0" applyFont="0" applyFill="0" applyBorder="0" applyAlignment="0" applyProtection="0"/>
    <xf numFmtId="9" fontId="11" fillId="0" borderId="0" applyFont="0" applyFill="0" applyBorder="0" applyAlignment="0" applyProtection="0"/>
    <xf numFmtId="0" fontId="11" fillId="0" borderId="0"/>
    <xf numFmtId="42" fontId="11" fillId="0" borderId="0" applyFont="0" applyFill="0" applyBorder="0" applyAlignment="0" applyProtection="0"/>
    <xf numFmtId="0" fontId="16" fillId="0" borderId="0"/>
    <xf numFmtId="0" fontId="37" fillId="0" borderId="0"/>
    <xf numFmtId="178" fontId="16" fillId="0" borderId="0" applyFont="0" applyFill="0" applyBorder="0" applyAlignment="0" applyProtection="0"/>
    <xf numFmtId="43" fontId="37" fillId="0" borderId="0" applyFont="0" applyFill="0" applyBorder="0" applyAlignment="0" applyProtection="0"/>
  </cellStyleXfs>
  <cellXfs count="538">
    <xf numFmtId="0" fontId="0" fillId="0" borderId="0" xfId="0"/>
    <xf numFmtId="0" fontId="27" fillId="0" borderId="17" xfId="9" applyFont="1" applyBorder="1" applyAlignment="1">
      <alignment horizontal="center" vertical="center" wrapText="1"/>
    </xf>
    <xf numFmtId="0" fontId="27" fillId="0" borderId="22" xfId="9" applyFont="1" applyBorder="1" applyAlignment="1">
      <alignment horizontal="center" vertical="center" wrapText="1"/>
    </xf>
    <xf numFmtId="1" fontId="27" fillId="0" borderId="106" xfId="9" applyNumberFormat="1" applyFont="1" applyBorder="1" applyAlignment="1">
      <alignment horizontal="left" vertical="center" wrapText="1"/>
    </xf>
    <xf numFmtId="1" fontId="27" fillId="0" borderId="105" xfId="9" applyNumberFormat="1" applyFont="1" applyBorder="1" applyAlignment="1">
      <alignment horizontal="left" vertical="center" wrapText="1"/>
    </xf>
    <xf numFmtId="1" fontId="27" fillId="0" borderId="65" xfId="9" applyNumberFormat="1" applyFont="1" applyBorder="1" applyAlignment="1">
      <alignment horizontal="left" vertical="center" wrapText="1"/>
    </xf>
    <xf numFmtId="4" fontId="28" fillId="0" borderId="37" xfId="9" quotePrefix="1" applyNumberFormat="1" applyFont="1" applyBorder="1" applyAlignment="1">
      <alignment horizontal="center" vertical="center"/>
    </xf>
    <xf numFmtId="4" fontId="28" fillId="0" borderId="88" xfId="9" quotePrefix="1" applyNumberFormat="1" applyFont="1" applyBorder="1" applyAlignment="1">
      <alignment horizontal="center" vertical="center"/>
    </xf>
    <xf numFmtId="4" fontId="28" fillId="0" borderId="35" xfId="9" quotePrefix="1" applyNumberFormat="1" applyFont="1" applyBorder="1" applyAlignment="1">
      <alignment horizontal="center" vertical="center"/>
    </xf>
    <xf numFmtId="0" fontId="27" fillId="0" borderId="3" xfId="9" applyFont="1" applyBorder="1" applyAlignment="1">
      <alignment horizontal="left" vertical="center" wrapText="1"/>
    </xf>
    <xf numFmtId="0" fontId="27" fillId="0" borderId="17" xfId="9" applyFont="1" applyBorder="1" applyAlignment="1">
      <alignment horizontal="left" vertical="center" wrapText="1"/>
    </xf>
    <xf numFmtId="0" fontId="27" fillId="0" borderId="22" xfId="9" applyFont="1" applyBorder="1" applyAlignment="1">
      <alignment horizontal="left" vertical="center" wrapText="1"/>
    </xf>
    <xf numFmtId="176" fontId="28" fillId="11" borderId="69" xfId="9" applyNumberFormat="1" applyFont="1" applyFill="1" applyBorder="1" applyAlignment="1">
      <alignment horizontal="center" vertical="center"/>
    </xf>
    <xf numFmtId="176" fontId="28" fillId="11" borderId="95" xfId="9" applyNumberFormat="1" applyFont="1" applyFill="1" applyBorder="1" applyAlignment="1">
      <alignment horizontal="center" vertical="center"/>
    </xf>
    <xf numFmtId="176" fontId="28" fillId="11" borderId="112" xfId="9" applyNumberFormat="1" applyFont="1" applyFill="1" applyBorder="1" applyAlignment="1">
      <alignment horizontal="center" vertical="center"/>
    </xf>
    <xf numFmtId="0" fontId="27" fillId="0" borderId="3" xfId="9" applyFont="1" applyBorder="1" applyAlignment="1">
      <alignment horizontal="center" vertical="center" wrapText="1"/>
    </xf>
    <xf numFmtId="0" fontId="5" fillId="2" borderId="1" xfId="0" applyFont="1" applyFill="1" applyBorder="1" applyAlignment="1">
      <alignment horizontal="left"/>
    </xf>
    <xf numFmtId="0" fontId="5" fillId="2" borderId="1" xfId="0" applyFont="1" applyFill="1" applyBorder="1" applyAlignment="1">
      <alignment horizontal="center" vertical="center"/>
    </xf>
    <xf numFmtId="164" fontId="5" fillId="2" borderId="1" xfId="0" applyNumberFormat="1" applyFont="1" applyFill="1" applyBorder="1" applyAlignment="1">
      <alignment horizontal="center"/>
    </xf>
    <xf numFmtId="165" fontId="5" fillId="2" borderId="1" xfId="0" applyNumberFormat="1" applyFont="1" applyFill="1" applyBorder="1" applyAlignment="1">
      <alignment horizontal="center"/>
    </xf>
    <xf numFmtId="0" fontId="7" fillId="0" borderId="2" xfId="0" applyFont="1" applyBorder="1" applyAlignment="1">
      <alignment horizontal="left" vertical="center" wrapText="1"/>
    </xf>
    <xf numFmtId="165" fontId="6" fillId="3" borderId="3" xfId="0" applyNumberFormat="1" applyFont="1" applyFill="1" applyBorder="1" applyAlignment="1">
      <alignment horizontal="left" wrapText="1"/>
    </xf>
    <xf numFmtId="0" fontId="5" fillId="2" borderId="4" xfId="0" applyFont="1" applyFill="1" applyBorder="1" applyAlignment="1">
      <alignment horizontal="left"/>
    </xf>
    <xf numFmtId="165" fontId="5" fillId="2" borderId="4" xfId="0" applyNumberFormat="1" applyFont="1" applyFill="1" applyBorder="1" applyAlignment="1">
      <alignment horizontal="center"/>
    </xf>
    <xf numFmtId="165" fontId="6" fillId="3" borderId="5" xfId="0" applyNumberFormat="1" applyFont="1" applyFill="1" applyBorder="1" applyAlignment="1">
      <alignment horizontal="left" wrapText="1"/>
    </xf>
    <xf numFmtId="49" fontId="6" fillId="0" borderId="0" xfId="0" applyNumberFormat="1" applyFont="1" applyAlignment="1">
      <alignment vertical="top" wrapText="1"/>
    </xf>
    <xf numFmtId="166" fontId="6" fillId="2" borderId="6" xfId="0" applyNumberFormat="1" applyFont="1" applyFill="1" applyBorder="1"/>
    <xf numFmtId="165" fontId="5" fillId="2" borderId="7" xfId="0" applyNumberFormat="1" applyFont="1" applyFill="1" applyBorder="1" applyAlignment="1">
      <alignment horizontal="center"/>
    </xf>
    <xf numFmtId="166" fontId="6" fillId="0" borderId="8" xfId="0" applyNumberFormat="1" applyFont="1" applyBorder="1" applyAlignment="1">
      <alignment horizontal="left" wrapText="1"/>
    </xf>
    <xf numFmtId="165" fontId="6" fillId="0" borderId="9" xfId="0" applyNumberFormat="1" applyFont="1" applyBorder="1" applyAlignment="1">
      <alignment horizontal="left" wrapText="1"/>
    </xf>
    <xf numFmtId="165" fontId="5" fillId="2" borderId="10" xfId="0" applyNumberFormat="1" applyFont="1" applyFill="1" applyBorder="1" applyAlignment="1">
      <alignment horizontal="center"/>
    </xf>
    <xf numFmtId="166" fontId="8" fillId="0" borderId="8" xfId="0" applyNumberFormat="1" applyFont="1" applyBorder="1" applyAlignment="1">
      <alignment horizontal="center" vertical="center"/>
    </xf>
    <xf numFmtId="166" fontId="8" fillId="0" borderId="11" xfId="0" applyNumberFormat="1" applyFont="1" applyBorder="1" applyAlignment="1">
      <alignment horizontal="center" vertical="center"/>
    </xf>
    <xf numFmtId="164" fontId="8" fillId="0" borderId="8" xfId="0" applyNumberFormat="1" applyFont="1" applyBorder="1" applyAlignment="1">
      <alignment horizontal="center" vertical="center"/>
    </xf>
    <xf numFmtId="49" fontId="5" fillId="4" borderId="12" xfId="0" applyNumberFormat="1" applyFont="1" applyFill="1" applyBorder="1" applyAlignment="1">
      <alignment horizontal="center"/>
    </xf>
    <xf numFmtId="49" fontId="6" fillId="0" borderId="2" xfId="0" applyNumberFormat="1" applyFont="1" applyBorder="1" applyAlignment="1">
      <alignment horizontal="center" vertical="center" wrapText="1"/>
    </xf>
    <xf numFmtId="164" fontId="6" fillId="0" borderId="3" xfId="0" applyNumberFormat="1" applyFont="1" applyBorder="1" applyAlignment="1">
      <alignment horizontal="left" wrapText="1"/>
    </xf>
    <xf numFmtId="0" fontId="6" fillId="0" borderId="2" xfId="0" applyFont="1" applyBorder="1" applyAlignment="1">
      <alignment horizontal="center" vertical="center"/>
    </xf>
    <xf numFmtId="9" fontId="9" fillId="0" borderId="5" xfId="2" applyFont="1" applyBorder="1" applyAlignment="1"/>
    <xf numFmtId="9" fontId="9" fillId="0" borderId="5" xfId="2" applyFont="1" applyFill="1" applyBorder="1" applyAlignment="1"/>
    <xf numFmtId="0" fontId="5" fillId="2" borderId="4" xfId="0" applyFont="1" applyFill="1" applyBorder="1" applyAlignment="1">
      <alignment horizontal="center" vertical="center"/>
    </xf>
    <xf numFmtId="164" fontId="5" fillId="2" borderId="4" xfId="0" applyNumberFormat="1" applyFont="1" applyFill="1" applyBorder="1" applyAlignment="1">
      <alignment horizontal="center"/>
    </xf>
    <xf numFmtId="0" fontId="6" fillId="0" borderId="5" xfId="0" applyFont="1" applyBorder="1" applyAlignment="1">
      <alignment horizontal="center" vertical="center"/>
    </xf>
    <xf numFmtId="0" fontId="6" fillId="0" borderId="5" xfId="0" applyFont="1" applyBorder="1" applyAlignment="1">
      <alignment horizontal="left" vertical="center" wrapText="1"/>
    </xf>
    <xf numFmtId="0" fontId="6" fillId="0" borderId="2" xfId="0" applyFont="1" applyBorder="1" applyAlignment="1">
      <alignment horizontal="left" vertical="center" wrapText="1"/>
    </xf>
    <xf numFmtId="0" fontId="7" fillId="0" borderId="2" xfId="0" applyFont="1" applyBorder="1" applyAlignment="1">
      <alignment wrapText="1"/>
    </xf>
    <xf numFmtId="165" fontId="0" fillId="0" borderId="13" xfId="0" applyNumberFormat="1" applyBorder="1"/>
    <xf numFmtId="44" fontId="0" fillId="0" borderId="13" xfId="0" applyNumberFormat="1" applyBorder="1"/>
    <xf numFmtId="44" fontId="0" fillId="0" borderId="14" xfId="0" applyNumberFormat="1" applyBorder="1"/>
    <xf numFmtId="165" fontId="0" fillId="0" borderId="15" xfId="0" applyNumberFormat="1" applyBorder="1"/>
    <xf numFmtId="166" fontId="8" fillId="2" borderId="6" xfId="0" applyNumberFormat="1" applyFont="1" applyFill="1" applyBorder="1"/>
    <xf numFmtId="166" fontId="8" fillId="2" borderId="16" xfId="0" applyNumberFormat="1" applyFont="1" applyFill="1" applyBorder="1"/>
    <xf numFmtId="164" fontId="6" fillId="0" borderId="17" xfId="0" applyNumberFormat="1" applyFont="1" applyBorder="1" applyAlignment="1">
      <alignment horizontal="left" wrapText="1"/>
    </xf>
    <xf numFmtId="164" fontId="10" fillId="0" borderId="17" xfId="0" applyNumberFormat="1" applyFont="1" applyBorder="1" applyAlignment="1">
      <alignment horizontal="left" wrapText="1"/>
    </xf>
    <xf numFmtId="164" fontId="6" fillId="0" borderId="18" xfId="0" applyNumberFormat="1" applyFont="1" applyBorder="1" applyAlignment="1">
      <alignment horizontal="left" wrapText="1"/>
    </xf>
    <xf numFmtId="164" fontId="6" fillId="0" borderId="18" xfId="0" applyNumberFormat="1" applyFont="1" applyBorder="1" applyAlignment="1">
      <alignment horizontal="left" vertical="center" wrapText="1"/>
    </xf>
    <xf numFmtId="0" fontId="5" fillId="4" borderId="19" xfId="0" applyFont="1" applyFill="1" applyBorder="1" applyAlignment="1">
      <alignment horizontal="center" vertical="center"/>
    </xf>
    <xf numFmtId="0" fontId="5" fillId="4" borderId="20" xfId="0" applyFont="1" applyFill="1" applyBorder="1" applyAlignment="1">
      <alignment horizontal="center" vertical="center"/>
    </xf>
    <xf numFmtId="164" fontId="5" fillId="4" borderId="20" xfId="0" applyNumberFormat="1" applyFont="1" applyFill="1" applyBorder="1" applyAlignment="1">
      <alignment horizontal="center"/>
    </xf>
    <xf numFmtId="165" fontId="5" fillId="4" borderId="20" xfId="0" applyNumberFormat="1" applyFont="1" applyFill="1" applyBorder="1" applyAlignment="1">
      <alignment horizontal="center"/>
    </xf>
    <xf numFmtId="165" fontId="5" fillId="4" borderId="21" xfId="0" applyNumberFormat="1" applyFont="1" applyFill="1" applyBorder="1" applyAlignment="1">
      <alignment horizontal="center"/>
    </xf>
    <xf numFmtId="164" fontId="8" fillId="0" borderId="11" xfId="0" applyNumberFormat="1" applyFont="1" applyBorder="1" applyAlignment="1">
      <alignment horizontal="center" vertical="center"/>
    </xf>
    <xf numFmtId="0" fontId="11" fillId="0" borderId="0" xfId="6" applyAlignment="1">
      <alignment vertical="center"/>
    </xf>
    <xf numFmtId="0" fontId="14" fillId="0" borderId="5" xfId="6" applyFont="1" applyBorder="1" applyAlignment="1">
      <alignment vertical="center"/>
    </xf>
    <xf numFmtId="0" fontId="11" fillId="0" borderId="5" xfId="6" applyBorder="1" applyAlignment="1">
      <alignment horizontal="center" vertical="center"/>
    </xf>
    <xf numFmtId="0" fontId="14" fillId="0" borderId="5" xfId="6" applyFont="1" applyBorder="1" applyAlignment="1">
      <alignment horizontal="center" vertical="center"/>
    </xf>
    <xf numFmtId="2" fontId="11" fillId="0" borderId="5" xfId="6" applyNumberFormat="1" applyBorder="1" applyAlignment="1">
      <alignment horizontal="center" vertical="center"/>
    </xf>
    <xf numFmtId="4" fontId="15" fillId="0" borderId="2" xfId="6" quotePrefix="1" applyNumberFormat="1" applyFont="1" applyBorder="1" applyAlignment="1">
      <alignment horizontal="center" vertical="center"/>
    </xf>
    <xf numFmtId="4" fontId="15" fillId="0" borderId="22" xfId="6" quotePrefix="1" applyNumberFormat="1" applyFont="1" applyBorder="1" applyAlignment="1">
      <alignment horizontal="center" vertical="center"/>
    </xf>
    <xf numFmtId="167" fontId="0" fillId="0" borderId="5" xfId="7" applyNumberFormat="1" applyFont="1" applyBorder="1" applyAlignment="1">
      <alignment vertical="center"/>
    </xf>
    <xf numFmtId="44" fontId="16" fillId="0" borderId="5" xfId="7" applyFont="1" applyBorder="1" applyAlignment="1">
      <alignment horizontal="center" vertical="center"/>
    </xf>
    <xf numFmtId="0" fontId="1" fillId="0" borderId="2" xfId="6" applyFont="1" applyBorder="1" applyAlignment="1">
      <alignment horizontal="center" vertical="center"/>
    </xf>
    <xf numFmtId="44" fontId="1" fillId="0" borderId="23" xfId="7" applyFont="1" applyBorder="1" applyAlignment="1">
      <alignment vertical="center"/>
    </xf>
    <xf numFmtId="44" fontId="1" fillId="0" borderId="2" xfId="7" applyFont="1" applyBorder="1" applyAlignment="1">
      <alignment vertical="center"/>
    </xf>
    <xf numFmtId="44" fontId="0" fillId="0" borderId="5" xfId="7" applyFont="1" applyBorder="1" applyAlignment="1">
      <alignment horizontal="center" vertical="center"/>
    </xf>
    <xf numFmtId="9" fontId="0" fillId="0" borderId="5" xfId="8" applyFont="1" applyBorder="1" applyAlignment="1">
      <alignment horizontal="center" vertical="center"/>
    </xf>
    <xf numFmtId="0" fontId="14" fillId="0" borderId="5" xfId="6" applyFont="1" applyBorder="1" applyAlignment="1">
      <alignment horizontal="center" vertical="center" wrapText="1"/>
    </xf>
    <xf numFmtId="10" fontId="0" fillId="0" borderId="5" xfId="8" applyNumberFormat="1" applyFont="1" applyBorder="1" applyAlignment="1">
      <alignment horizontal="center" vertical="center"/>
    </xf>
    <xf numFmtId="2" fontId="11" fillId="0" borderId="0" xfId="6" applyNumberFormat="1" applyAlignment="1">
      <alignment vertical="center"/>
    </xf>
    <xf numFmtId="0" fontId="1" fillId="0" borderId="0" xfId="6" applyFont="1" applyAlignment="1">
      <alignment vertical="center"/>
    </xf>
    <xf numFmtId="10" fontId="11" fillId="0" borderId="5" xfId="6" applyNumberFormat="1" applyBorder="1" applyAlignment="1">
      <alignment horizontal="center" vertical="center"/>
    </xf>
    <xf numFmtId="0" fontId="11" fillId="0" borderId="0" xfId="6" applyAlignment="1">
      <alignment vertical="center" wrapText="1"/>
    </xf>
    <xf numFmtId="10" fontId="11" fillId="0" borderId="0" xfId="6" applyNumberFormat="1" applyAlignment="1">
      <alignment horizontal="center" vertical="center"/>
    </xf>
    <xf numFmtId="0" fontId="11" fillId="5" borderId="0" xfId="6" applyFill="1" applyAlignment="1">
      <alignment vertical="center"/>
    </xf>
    <xf numFmtId="0" fontId="1" fillId="0" borderId="22" xfId="6" applyFont="1" applyBorder="1" applyAlignment="1">
      <alignment horizontal="left" vertical="center"/>
    </xf>
    <xf numFmtId="0" fontId="1" fillId="0" borderId="17" xfId="6" applyFont="1" applyBorder="1" applyAlignment="1">
      <alignment horizontal="left" vertical="center"/>
    </xf>
    <xf numFmtId="0" fontId="1" fillId="0" borderId="3" xfId="6" applyFont="1" applyBorder="1" applyAlignment="1">
      <alignment horizontal="left" vertical="center"/>
    </xf>
    <xf numFmtId="168" fontId="11" fillId="5" borderId="0" xfId="6" applyNumberFormat="1" applyFill="1" applyAlignment="1">
      <alignment vertical="center"/>
    </xf>
    <xf numFmtId="0" fontId="11" fillId="0" borderId="0" xfId="6" applyAlignment="1">
      <alignment horizontal="center" vertical="center"/>
    </xf>
    <xf numFmtId="0" fontId="1" fillId="0" borderId="0" xfId="9" applyFont="1" applyAlignment="1">
      <alignment horizontal="center"/>
    </xf>
    <xf numFmtId="0" fontId="18" fillId="0" borderId="2" xfId="9" applyFont="1" applyBorder="1" applyAlignment="1">
      <alignment horizontal="center"/>
    </xf>
    <xf numFmtId="0" fontId="18" fillId="0" borderId="22" xfId="9" applyFont="1" applyBorder="1" applyAlignment="1">
      <alignment horizontal="center"/>
    </xf>
    <xf numFmtId="0" fontId="18" fillId="0" borderId="5" xfId="9" applyFont="1" applyBorder="1" applyAlignment="1">
      <alignment horizontal="center"/>
    </xf>
    <xf numFmtId="0" fontId="15" fillId="0" borderId="0" xfId="9" applyFont="1" applyAlignment="1">
      <alignment horizontal="center"/>
    </xf>
    <xf numFmtId="0" fontId="16" fillId="0" borderId="0" xfId="9" applyFont="1" applyAlignment="1">
      <alignment horizontal="center"/>
    </xf>
    <xf numFmtId="0" fontId="11" fillId="0" borderId="0" xfId="9"/>
    <xf numFmtId="0" fontId="15" fillId="6" borderId="2" xfId="9" applyFont="1" applyFill="1" applyBorder="1"/>
    <xf numFmtId="0" fontId="1" fillId="5" borderId="0" xfId="9" applyFont="1" applyFill="1"/>
    <xf numFmtId="0" fontId="1" fillId="5" borderId="5" xfId="7" applyNumberFormat="1" applyFont="1" applyFill="1" applyBorder="1"/>
    <xf numFmtId="0" fontId="1" fillId="5" borderId="5" xfId="9" applyFont="1" applyFill="1" applyBorder="1"/>
    <xf numFmtId="0" fontId="1" fillId="5" borderId="5" xfId="9" applyFont="1" applyFill="1" applyBorder="1" applyAlignment="1">
      <alignment wrapText="1"/>
    </xf>
    <xf numFmtId="4" fontId="15" fillId="0" borderId="2" xfId="9" quotePrefix="1" applyNumberFormat="1" applyFont="1" applyBorder="1" applyAlignment="1">
      <alignment horizontal="center" vertical="center"/>
    </xf>
    <xf numFmtId="0" fontId="15" fillId="0" borderId="2" xfId="9" applyFont="1" applyBorder="1" applyAlignment="1">
      <alignment vertical="center"/>
    </xf>
    <xf numFmtId="4" fontId="15" fillId="0" borderId="0" xfId="9" applyNumberFormat="1" applyFont="1" applyAlignment="1">
      <alignment horizontal="center" vertical="center"/>
    </xf>
    <xf numFmtId="4" fontId="15" fillId="0" borderId="2" xfId="9" quotePrefix="1" applyNumberFormat="1" applyFont="1" applyBorder="1" applyAlignment="1">
      <alignment horizontal="center" vertical="center" wrapText="1"/>
    </xf>
    <xf numFmtId="4" fontId="19" fillId="0" borderId="2" xfId="9" quotePrefix="1" applyNumberFormat="1" applyFont="1" applyBorder="1" applyAlignment="1">
      <alignment horizontal="center" vertical="center"/>
    </xf>
    <xf numFmtId="0" fontId="1" fillId="0" borderId="2" xfId="9" applyFont="1" applyBorder="1" applyAlignment="1">
      <alignment wrapText="1"/>
    </xf>
    <xf numFmtId="0" fontId="1" fillId="0" borderId="22" xfId="9" applyFont="1" applyBorder="1" applyAlignment="1">
      <alignment horizontal="center"/>
    </xf>
    <xf numFmtId="0" fontId="15" fillId="0" borderId="22" xfId="9" applyFont="1" applyBorder="1"/>
    <xf numFmtId="0" fontId="15" fillId="0" borderId="2" xfId="9" applyFont="1" applyBorder="1"/>
    <xf numFmtId="165" fontId="1" fillId="0" borderId="2" xfId="9" applyNumberFormat="1" applyFont="1" applyBorder="1"/>
    <xf numFmtId="9" fontId="15" fillId="0" borderId="0" xfId="9" applyNumberFormat="1" applyFont="1"/>
    <xf numFmtId="0" fontId="1" fillId="0" borderId="2" xfId="9" applyFont="1" applyBorder="1"/>
    <xf numFmtId="0" fontId="1" fillId="5" borderId="2" xfId="9" applyFont="1" applyFill="1" applyBorder="1"/>
    <xf numFmtId="0" fontId="1" fillId="0" borderId="2" xfId="9" applyFont="1" applyBorder="1" applyAlignment="1">
      <alignment horizontal="center"/>
    </xf>
    <xf numFmtId="169" fontId="16" fillId="5" borderId="2" xfId="9" applyNumberFormat="1" applyFont="1" applyFill="1" applyBorder="1"/>
    <xf numFmtId="165" fontId="15" fillId="5" borderId="2" xfId="9" applyNumberFormat="1" applyFont="1" applyFill="1" applyBorder="1"/>
    <xf numFmtId="9" fontId="1" fillId="0" borderId="0" xfId="9" applyNumberFormat="1" applyFont="1"/>
    <xf numFmtId="0" fontId="1" fillId="0" borderId="22" xfId="9" applyFont="1" applyBorder="1" applyAlignment="1">
      <alignment horizontal="left"/>
    </xf>
    <xf numFmtId="0" fontId="16" fillId="0" borderId="17" xfId="9" applyFont="1" applyBorder="1"/>
    <xf numFmtId="0" fontId="16" fillId="0" borderId="3" xfId="9" applyFont="1" applyBorder="1"/>
    <xf numFmtId="0" fontId="15" fillId="0" borderId="2" xfId="9" applyFont="1" applyBorder="1" applyAlignment="1">
      <alignment horizontal="left"/>
    </xf>
    <xf numFmtId="165" fontId="1" fillId="5" borderId="2" xfId="9" applyNumberFormat="1" applyFont="1" applyFill="1" applyBorder="1"/>
    <xf numFmtId="0" fontId="15" fillId="0" borderId="2" xfId="9" applyFont="1" applyBorder="1" applyAlignment="1">
      <alignment horizontal="left" wrapText="1"/>
    </xf>
    <xf numFmtId="0" fontId="1" fillId="5" borderId="24" xfId="9" applyFont="1" applyFill="1" applyBorder="1"/>
    <xf numFmtId="0" fontId="1" fillId="0" borderId="25" xfId="9" applyFont="1" applyBorder="1"/>
    <xf numFmtId="165" fontId="20" fillId="5" borderId="2" xfId="9" applyNumberFormat="1" applyFont="1" applyFill="1" applyBorder="1"/>
    <xf numFmtId="165" fontId="20" fillId="0" borderId="2" xfId="9" applyNumberFormat="1" applyFont="1" applyBorder="1"/>
    <xf numFmtId="0" fontId="15" fillId="0" borderId="0" xfId="9" applyFont="1"/>
    <xf numFmtId="0" fontId="11" fillId="0" borderId="2" xfId="9" applyBorder="1"/>
    <xf numFmtId="0" fontId="19" fillId="0" borderId="2" xfId="9" applyFont="1" applyBorder="1"/>
    <xf numFmtId="0" fontId="21" fillId="0" borderId="2" xfId="9" applyFont="1" applyBorder="1"/>
    <xf numFmtId="44" fontId="22" fillId="5" borderId="2" xfId="7" applyFont="1" applyFill="1" applyBorder="1"/>
    <xf numFmtId="0" fontId="15" fillId="5" borderId="2" xfId="9" applyFont="1" applyFill="1" applyBorder="1"/>
    <xf numFmtId="0" fontId="15" fillId="6" borderId="2" xfId="9" applyFont="1" applyFill="1" applyBorder="1" applyAlignment="1">
      <alignment vertical="center"/>
    </xf>
    <xf numFmtId="0" fontId="1" fillId="0" borderId="2" xfId="9" applyFont="1" applyBorder="1" applyAlignment="1">
      <alignment vertical="center" wrapText="1"/>
    </xf>
    <xf numFmtId="0" fontId="1" fillId="0" borderId="22" xfId="9" applyFont="1" applyBorder="1" applyAlignment="1">
      <alignment horizontal="center" vertical="center"/>
    </xf>
    <xf numFmtId="0" fontId="1" fillId="5" borderId="5" xfId="7" applyNumberFormat="1" applyFont="1" applyFill="1" applyBorder="1" applyAlignment="1">
      <alignment vertical="center"/>
    </xf>
    <xf numFmtId="0" fontId="11" fillId="0" borderId="0" xfId="9" applyAlignment="1">
      <alignment vertical="center"/>
    </xf>
    <xf numFmtId="0" fontId="15" fillId="0" borderId="2" xfId="9" applyFont="1" applyBorder="1" applyAlignment="1">
      <alignment horizontal="left" vertical="center" wrapText="1"/>
    </xf>
    <xf numFmtId="165" fontId="15" fillId="5" borderId="2" xfId="9" applyNumberFormat="1" applyFont="1" applyFill="1" applyBorder="1" applyAlignment="1">
      <alignment vertical="center"/>
    </xf>
    <xf numFmtId="0" fontId="15" fillId="0" borderId="0" xfId="9" applyFont="1" applyAlignment="1">
      <alignment vertical="center"/>
    </xf>
    <xf numFmtId="0" fontId="1" fillId="0" borderId="2" xfId="9" applyFont="1" applyBorder="1" applyAlignment="1">
      <alignment vertical="center"/>
    </xf>
    <xf numFmtId="0" fontId="1" fillId="0" borderId="2" xfId="9" applyFont="1" applyBorder="1" applyAlignment="1">
      <alignment horizontal="center" vertical="center"/>
    </xf>
    <xf numFmtId="169" fontId="16" fillId="5" borderId="2" xfId="9" applyNumberFormat="1" applyFont="1" applyFill="1" applyBorder="1" applyAlignment="1">
      <alignment vertical="center"/>
    </xf>
    <xf numFmtId="0" fontId="15" fillId="0" borderId="26" xfId="9" applyFont="1" applyBorder="1"/>
    <xf numFmtId="165" fontId="15" fillId="5" borderId="26" xfId="9" applyNumberFormat="1" applyFont="1" applyFill="1" applyBorder="1"/>
    <xf numFmtId="0" fontId="1" fillId="0" borderId="17" xfId="9" applyFont="1" applyBorder="1" applyAlignment="1">
      <alignment horizontal="center"/>
    </xf>
    <xf numFmtId="0" fontId="1" fillId="0" borderId="3" xfId="9" applyFont="1" applyBorder="1" applyAlignment="1">
      <alignment horizontal="center"/>
    </xf>
    <xf numFmtId="0" fontId="1" fillId="0" borderId="17" xfId="9" applyFont="1" applyBorder="1" applyAlignment="1">
      <alignment horizontal="left"/>
    </xf>
    <xf numFmtId="0" fontId="1" fillId="0" borderId="3" xfId="9" applyFont="1" applyBorder="1" applyAlignment="1">
      <alignment horizontal="left"/>
    </xf>
    <xf numFmtId="1" fontId="15" fillId="0" borderId="0" xfId="9" applyNumberFormat="1" applyFont="1"/>
    <xf numFmtId="0" fontId="16" fillId="0" borderId="2" xfId="9" applyFont="1" applyBorder="1"/>
    <xf numFmtId="0" fontId="15" fillId="0" borderId="5" xfId="9" applyFont="1" applyBorder="1"/>
    <xf numFmtId="165" fontId="15" fillId="5" borderId="5" xfId="9" applyNumberFormat="1" applyFont="1" applyFill="1" applyBorder="1"/>
    <xf numFmtId="0" fontId="15" fillId="0" borderId="24" xfId="9" applyFont="1" applyBorder="1"/>
    <xf numFmtId="0" fontId="15" fillId="0" borderId="23" xfId="9" applyFont="1" applyBorder="1"/>
    <xf numFmtId="44" fontId="15" fillId="5" borderId="23" xfId="7" applyFont="1" applyFill="1" applyBorder="1"/>
    <xf numFmtId="165" fontId="15" fillId="5" borderId="27" xfId="9" applyNumberFormat="1" applyFont="1" applyFill="1" applyBorder="1"/>
    <xf numFmtId="0" fontId="15" fillId="0" borderId="3" xfId="9" applyFont="1" applyBorder="1"/>
    <xf numFmtId="44" fontId="15" fillId="5" borderId="2" xfId="7" applyFont="1" applyFill="1" applyBorder="1"/>
    <xf numFmtId="0" fontId="24" fillId="0" borderId="2" xfId="9" applyFont="1" applyBorder="1"/>
    <xf numFmtId="44" fontId="15" fillId="0" borderId="2" xfId="7" applyFont="1" applyBorder="1"/>
    <xf numFmtId="0" fontId="16" fillId="0" borderId="2" xfId="9" applyFont="1" applyBorder="1" applyAlignment="1">
      <alignment wrapText="1"/>
    </xf>
    <xf numFmtId="0" fontId="1" fillId="0" borderId="2" xfId="9" applyFont="1" applyBorder="1" applyAlignment="1">
      <alignment horizontal="left" wrapText="1"/>
    </xf>
    <xf numFmtId="0" fontId="15" fillId="7" borderId="2" xfId="9" applyFont="1" applyFill="1" applyBorder="1"/>
    <xf numFmtId="0" fontId="1" fillId="0" borderId="2" xfId="9" applyFont="1" applyBorder="1" applyAlignment="1">
      <alignment horizontal="left"/>
    </xf>
    <xf numFmtId="0" fontId="15" fillId="7" borderId="26" xfId="9" applyFont="1" applyFill="1" applyBorder="1"/>
    <xf numFmtId="44" fontId="0" fillId="0" borderId="5" xfId="7" applyFont="1" applyBorder="1" applyAlignment="1">
      <alignment vertical="center" wrapText="1"/>
    </xf>
    <xf numFmtId="0" fontId="15" fillId="8" borderId="2" xfId="9" applyFont="1" applyFill="1" applyBorder="1"/>
    <xf numFmtId="0" fontId="14" fillId="0" borderId="0" xfId="9" applyFont="1" applyAlignment="1">
      <alignment horizontal="center" vertical="center" wrapText="1"/>
    </xf>
    <xf numFmtId="0" fontId="11" fillId="0" borderId="5" xfId="9" applyBorder="1" applyAlignment="1">
      <alignment vertical="center" wrapText="1"/>
    </xf>
    <xf numFmtId="0" fontId="11" fillId="0" borderId="0" xfId="9" applyAlignment="1">
      <alignment vertical="center" wrapText="1"/>
    </xf>
    <xf numFmtId="2" fontId="1" fillId="5" borderId="5" xfId="7" applyNumberFormat="1" applyFont="1" applyFill="1" applyBorder="1"/>
    <xf numFmtId="0" fontId="1" fillId="0" borderId="3" xfId="9" applyFont="1" applyBorder="1"/>
    <xf numFmtId="0" fontId="1" fillId="0" borderId="0" xfId="9" applyFont="1"/>
    <xf numFmtId="0" fontId="15" fillId="0" borderId="22" xfId="9" applyFont="1" applyBorder="1" applyAlignment="1">
      <alignment horizontal="center"/>
    </xf>
    <xf numFmtId="0" fontId="15" fillId="5" borderId="5" xfId="7" applyNumberFormat="1" applyFont="1" applyFill="1" applyBorder="1"/>
    <xf numFmtId="0" fontId="22" fillId="0" borderId="0" xfId="9" applyFont="1"/>
    <xf numFmtId="0" fontId="16" fillId="0" borderId="22" xfId="9" applyFont="1" applyBorder="1" applyAlignment="1">
      <alignment horizontal="center"/>
    </xf>
    <xf numFmtId="0" fontId="1" fillId="0" borderId="0" xfId="9" applyFont="1" applyAlignment="1">
      <alignment wrapText="1"/>
    </xf>
    <xf numFmtId="0" fontId="1" fillId="0" borderId="2" xfId="9" applyFont="1" applyBorder="1" applyAlignment="1">
      <alignment horizontal="left" vertical="top" wrapText="1"/>
    </xf>
    <xf numFmtId="0" fontId="25" fillId="0" borderId="2" xfId="9" applyFont="1" applyBorder="1" applyAlignment="1">
      <alignment wrapText="1"/>
    </xf>
    <xf numFmtId="2" fontId="1" fillId="5" borderId="5" xfId="9" applyNumberFormat="1" applyFont="1" applyFill="1" applyBorder="1"/>
    <xf numFmtId="0" fontId="16" fillId="0" borderId="26" xfId="9" applyFont="1" applyBorder="1" applyAlignment="1">
      <alignment wrapText="1"/>
    </xf>
    <xf numFmtId="0" fontId="16" fillId="0" borderId="5" xfId="9" applyFont="1" applyBorder="1" applyAlignment="1">
      <alignment wrapText="1"/>
    </xf>
    <xf numFmtId="0" fontId="16" fillId="0" borderId="5" xfId="9" applyFont="1" applyBorder="1" applyAlignment="1">
      <alignment vertical="center"/>
    </xf>
    <xf numFmtId="0" fontId="20" fillId="0" borderId="5" xfId="9" applyFont="1" applyBorder="1" applyAlignment="1">
      <alignment vertical="center"/>
    </xf>
    <xf numFmtId="0" fontId="15" fillId="6" borderId="22" xfId="9" applyFont="1" applyFill="1" applyBorder="1"/>
    <xf numFmtId="0" fontId="1" fillId="0" borderId="5" xfId="9" applyFont="1" applyBorder="1"/>
    <xf numFmtId="0" fontId="20" fillId="0" borderId="23" xfId="9" applyFont="1" applyBorder="1" applyAlignment="1">
      <alignment vertical="center"/>
    </xf>
    <xf numFmtId="0" fontId="1" fillId="0" borderId="26" xfId="9" applyFont="1" applyBorder="1" applyAlignment="1">
      <alignment wrapText="1"/>
    </xf>
    <xf numFmtId="0" fontId="15" fillId="0" borderId="28" xfId="9" applyFont="1" applyBorder="1"/>
    <xf numFmtId="0" fontId="1" fillId="0" borderId="5" xfId="9" applyFont="1" applyBorder="1" applyAlignment="1">
      <alignment wrapText="1"/>
    </xf>
    <xf numFmtId="0" fontId="15" fillId="6" borderId="28" xfId="9" applyFont="1" applyFill="1" applyBorder="1"/>
    <xf numFmtId="0" fontId="1" fillId="0" borderId="29" xfId="9" applyFont="1" applyBorder="1" applyAlignment="1">
      <alignment wrapText="1"/>
    </xf>
    <xf numFmtId="0" fontId="1" fillId="0" borderId="3" xfId="9" applyFont="1" applyBorder="1" applyAlignment="1">
      <alignment wrapText="1"/>
    </xf>
    <xf numFmtId="0" fontId="15" fillId="6" borderId="3" xfId="9" applyFont="1" applyFill="1" applyBorder="1"/>
    <xf numFmtId="0" fontId="1" fillId="0" borderId="3" xfId="9" applyFont="1" applyBorder="1" applyAlignment="1">
      <alignment horizontal="left" vertical="top" wrapText="1"/>
    </xf>
    <xf numFmtId="0" fontId="26" fillId="0" borderId="0" xfId="9" applyFont="1" applyAlignment="1">
      <alignment horizontal="left" vertical="center" wrapText="1"/>
    </xf>
    <xf numFmtId="0" fontId="1" fillId="5" borderId="3" xfId="9" applyFont="1" applyFill="1" applyBorder="1" applyAlignment="1">
      <alignment wrapText="1"/>
    </xf>
    <xf numFmtId="0" fontId="11" fillId="5" borderId="5" xfId="9" applyFill="1" applyBorder="1"/>
    <xf numFmtId="0" fontId="1" fillId="5" borderId="3" xfId="9" applyFont="1" applyFill="1" applyBorder="1"/>
    <xf numFmtId="0" fontId="15" fillId="0" borderId="17" xfId="9" applyFont="1" applyBorder="1" applyAlignment="1">
      <alignment horizontal="center"/>
    </xf>
    <xf numFmtId="0" fontId="1" fillId="0" borderId="30" xfId="9" applyFont="1" applyBorder="1" applyAlignment="1">
      <alignment wrapText="1"/>
    </xf>
    <xf numFmtId="0" fontId="1" fillId="0" borderId="4" xfId="9" applyFont="1" applyBorder="1" applyAlignment="1">
      <alignment horizontal="center"/>
    </xf>
    <xf numFmtId="0" fontId="15" fillId="6" borderId="4" xfId="9" applyFont="1" applyFill="1" applyBorder="1"/>
    <xf numFmtId="0" fontId="1" fillId="0" borderId="31" xfId="9" applyFont="1" applyBorder="1" applyAlignment="1">
      <alignment wrapText="1"/>
    </xf>
    <xf numFmtId="0" fontId="1" fillId="0" borderId="32" xfId="9" applyFont="1" applyBorder="1" applyAlignment="1">
      <alignment horizontal="center"/>
    </xf>
    <xf numFmtId="0" fontId="15" fillId="6" borderId="5" xfId="9" applyFont="1" applyFill="1" applyBorder="1"/>
    <xf numFmtId="0" fontId="1" fillId="0" borderId="18" xfId="9" applyFont="1" applyBorder="1" applyAlignment="1">
      <alignment horizontal="center"/>
    </xf>
    <xf numFmtId="0" fontId="15" fillId="6" borderId="0" xfId="9" applyFont="1" applyFill="1"/>
    <xf numFmtId="0" fontId="27" fillId="9" borderId="2" xfId="9" applyFont="1" applyFill="1" applyBorder="1" applyAlignment="1">
      <alignment horizontal="center" vertical="center"/>
    </xf>
    <xf numFmtId="0" fontId="27" fillId="9" borderId="22" xfId="9" applyFont="1" applyFill="1" applyBorder="1" applyAlignment="1">
      <alignment horizontal="left" vertical="center" wrapText="1"/>
    </xf>
    <xf numFmtId="0" fontId="11" fillId="0" borderId="0" xfId="9" applyAlignment="1">
      <alignment horizontal="center"/>
    </xf>
    <xf numFmtId="0" fontId="1" fillId="0" borderId="0" xfId="9" applyFont="1" applyAlignment="1">
      <alignment vertical="center"/>
    </xf>
    <xf numFmtId="0" fontId="30" fillId="0" borderId="0" xfId="9" applyFont="1"/>
    <xf numFmtId="0" fontId="28" fillId="0" borderId="28" xfId="9" applyFont="1" applyBorder="1" applyAlignment="1">
      <alignment vertical="center" wrapText="1"/>
    </xf>
    <xf numFmtId="0" fontId="28" fillId="0" borderId="33" xfId="9" applyFont="1" applyBorder="1" applyAlignment="1">
      <alignment vertical="center" wrapText="1"/>
    </xf>
    <xf numFmtId="0" fontId="28" fillId="0" borderId="0" xfId="9" applyFont="1" applyAlignment="1">
      <alignment vertical="center" wrapText="1"/>
    </xf>
    <xf numFmtId="0" fontId="28" fillId="0" borderId="34" xfId="9" applyFont="1" applyBorder="1" applyAlignment="1">
      <alignment vertical="center" wrapText="1"/>
    </xf>
    <xf numFmtId="0" fontId="1" fillId="0" borderId="0" xfId="9" applyFont="1" applyAlignment="1">
      <alignment horizontal="left" vertical="center"/>
    </xf>
    <xf numFmtId="0" fontId="28" fillId="0" borderId="35" xfId="9" applyFont="1" applyBorder="1" applyAlignment="1">
      <alignment horizontal="center" vertical="center"/>
    </xf>
    <xf numFmtId="0" fontId="28" fillId="0" borderId="36" xfId="9" applyFont="1" applyBorder="1" applyAlignment="1">
      <alignment horizontal="center" vertical="center"/>
    </xf>
    <xf numFmtId="0" fontId="28" fillId="0" borderId="37" xfId="9" applyFont="1" applyBorder="1" applyAlignment="1">
      <alignment horizontal="center" vertical="center"/>
    </xf>
    <xf numFmtId="0" fontId="28" fillId="0" borderId="38" xfId="9" applyFont="1" applyBorder="1" applyAlignment="1">
      <alignment horizontal="center" vertical="center"/>
    </xf>
    <xf numFmtId="0" fontId="31" fillId="0" borderId="0" xfId="9" applyFont="1" applyAlignment="1">
      <alignment vertical="center"/>
    </xf>
    <xf numFmtId="0" fontId="27" fillId="0" borderId="33" xfId="9" applyFont="1" applyBorder="1" applyAlignment="1">
      <alignment vertical="center"/>
    </xf>
    <xf numFmtId="0" fontId="27" fillId="0" borderId="0" xfId="9" applyFont="1" applyAlignment="1">
      <alignment vertical="center"/>
    </xf>
    <xf numFmtId="0" fontId="27" fillId="0" borderId="34" xfId="9" applyFont="1" applyBorder="1" applyAlignment="1">
      <alignment vertical="center"/>
    </xf>
    <xf numFmtId="1" fontId="32" fillId="0" borderId="0" xfId="9" applyNumberFormat="1" applyFont="1" applyAlignment="1">
      <alignment horizontal="center" vertical="center" wrapText="1"/>
    </xf>
    <xf numFmtId="0" fontId="33" fillId="0" borderId="39" xfId="9" applyFont="1" applyBorder="1" applyAlignment="1">
      <alignment horizontal="center" vertical="center"/>
    </xf>
    <xf numFmtId="0" fontId="28" fillId="0" borderId="36" xfId="9" applyFont="1" applyBorder="1" applyAlignment="1">
      <alignment horizontal="center" vertical="center" wrapText="1"/>
    </xf>
    <xf numFmtId="0" fontId="27" fillId="0" borderId="40" xfId="9" applyFont="1" applyBorder="1" applyAlignment="1">
      <alignment horizontal="center" vertical="center"/>
    </xf>
    <xf numFmtId="1" fontId="24" fillId="0" borderId="0" xfId="9" applyNumberFormat="1" applyFont="1" applyAlignment="1">
      <alignment vertical="center"/>
    </xf>
    <xf numFmtId="170" fontId="27" fillId="0" borderId="0" xfId="9" applyNumberFormat="1" applyFont="1" applyAlignment="1">
      <alignment vertical="center"/>
    </xf>
    <xf numFmtId="3" fontId="27" fillId="0" borderId="0" xfId="9" applyNumberFormat="1" applyFont="1" applyAlignment="1">
      <alignment horizontal="center" vertical="center"/>
    </xf>
    <xf numFmtId="171" fontId="27" fillId="0" borderId="34" xfId="9" applyNumberFormat="1" applyFont="1" applyBorder="1" applyAlignment="1">
      <alignment horizontal="right" vertical="center"/>
    </xf>
    <xf numFmtId="0" fontId="28" fillId="0" borderId="41" xfId="9" quotePrefix="1" applyFont="1" applyBorder="1" applyAlignment="1">
      <alignment vertical="center"/>
    </xf>
    <xf numFmtId="0" fontId="27" fillId="0" borderId="42" xfId="9" applyFont="1" applyBorder="1" applyAlignment="1">
      <alignment vertical="center"/>
    </xf>
    <xf numFmtId="171" fontId="27" fillId="0" borderId="34" xfId="9" applyNumberFormat="1" applyFont="1" applyBorder="1" applyAlignment="1">
      <alignment vertical="center"/>
    </xf>
    <xf numFmtId="4" fontId="28" fillId="0" borderId="43" xfId="9" quotePrefix="1" applyNumberFormat="1" applyFont="1" applyBorder="1" applyAlignment="1">
      <alignment horizontal="center" vertical="center"/>
    </xf>
    <xf numFmtId="0" fontId="28" fillId="0" borderId="44" xfId="9" applyFont="1" applyBorder="1" applyAlignment="1">
      <alignment horizontal="center" vertical="center"/>
    </xf>
    <xf numFmtId="4" fontId="28" fillId="0" borderId="44" xfId="9" quotePrefix="1" applyNumberFormat="1" applyFont="1" applyBorder="1" applyAlignment="1">
      <alignment horizontal="center" vertical="center"/>
    </xf>
    <xf numFmtId="4" fontId="28" fillId="0" borderId="45" xfId="9" quotePrefix="1" applyNumberFormat="1" applyFont="1" applyBorder="1" applyAlignment="1">
      <alignment horizontal="center" vertical="center"/>
    </xf>
    <xf numFmtId="0" fontId="27" fillId="0" borderId="46" xfId="9" applyFont="1" applyBorder="1" applyAlignment="1">
      <alignment horizontal="center" vertical="center"/>
    </xf>
    <xf numFmtId="1" fontId="27" fillId="0" borderId="47" xfId="9" applyNumberFormat="1" applyFont="1" applyBorder="1" applyAlignment="1">
      <alignment horizontal="center" vertical="center" wrapText="1"/>
    </xf>
    <xf numFmtId="172" fontId="27" fillId="0" borderId="47" xfId="9" applyNumberFormat="1" applyFont="1" applyBorder="1" applyAlignment="1">
      <alignment vertical="center" wrapText="1"/>
    </xf>
    <xf numFmtId="173" fontId="27" fillId="0" borderId="47" xfId="9" applyNumberFormat="1" applyFont="1" applyBorder="1" applyAlignment="1">
      <alignment vertical="center" wrapText="1"/>
    </xf>
    <xf numFmtId="172" fontId="27" fillId="0" borderId="21" xfId="9" applyNumberFormat="1" applyFont="1" applyBorder="1" applyAlignment="1">
      <alignment vertical="center" wrapText="1"/>
    </xf>
    <xf numFmtId="0" fontId="27" fillId="0" borderId="11" xfId="9" applyFont="1" applyBorder="1" applyAlignment="1">
      <alignment horizontal="center" vertical="center"/>
    </xf>
    <xf numFmtId="1" fontId="27" fillId="0" borderId="5" xfId="9" applyNumberFormat="1" applyFont="1" applyBorder="1" applyAlignment="1">
      <alignment horizontal="center" vertical="center" wrapText="1"/>
    </xf>
    <xf numFmtId="172" fontId="27" fillId="0" borderId="5" xfId="9" applyNumberFormat="1" applyFont="1" applyBorder="1" applyAlignment="1">
      <alignment vertical="center" wrapText="1"/>
    </xf>
    <xf numFmtId="170" fontId="27" fillId="0" borderId="5" xfId="9" applyNumberFormat="1" applyFont="1" applyBorder="1" applyAlignment="1">
      <alignment horizontal="center" vertical="center"/>
    </xf>
    <xf numFmtId="164" fontId="27" fillId="0" borderId="9" xfId="9" applyNumberFormat="1" applyFont="1" applyBorder="1" applyAlignment="1">
      <alignment horizontal="right" vertical="center"/>
    </xf>
    <xf numFmtId="0" fontId="27" fillId="0" borderId="5" xfId="9" applyFont="1" applyBorder="1" applyAlignment="1">
      <alignment horizontal="center" vertical="center"/>
    </xf>
    <xf numFmtId="164" fontId="27" fillId="0" borderId="5" xfId="9" applyNumberFormat="1" applyFont="1" applyBorder="1" applyAlignment="1">
      <alignment horizontal="center" vertical="center"/>
    </xf>
    <xf numFmtId="0" fontId="27" fillId="0" borderId="48" xfId="9" applyFont="1" applyBorder="1" applyAlignment="1">
      <alignment horizontal="center" vertical="center"/>
    </xf>
    <xf numFmtId="0" fontId="27" fillId="0" borderId="29" xfId="9" applyFont="1" applyBorder="1" applyAlignment="1">
      <alignment horizontal="center" vertical="center"/>
    </xf>
    <xf numFmtId="164" fontId="27" fillId="0" borderId="23" xfId="9" applyNumberFormat="1" applyFont="1" applyBorder="1" applyAlignment="1">
      <alignment horizontal="center" vertical="center"/>
    </xf>
    <xf numFmtId="170" fontId="27" fillId="0" borderId="23" xfId="9" applyNumberFormat="1" applyFont="1" applyBorder="1" applyAlignment="1">
      <alignment horizontal="center" vertical="center"/>
    </xf>
    <xf numFmtId="164" fontId="27" fillId="0" borderId="49" xfId="9" applyNumberFormat="1" applyFont="1" applyBorder="1" applyAlignment="1">
      <alignment horizontal="right" vertical="center"/>
    </xf>
    <xf numFmtId="0" fontId="27" fillId="0" borderId="8" xfId="9" applyFont="1" applyBorder="1" applyAlignment="1">
      <alignment horizontal="center" vertical="center"/>
    </xf>
    <xf numFmtId="0" fontId="27" fillId="0" borderId="3" xfId="9" applyFont="1" applyBorder="1" applyAlignment="1">
      <alignment horizontal="center" vertical="center"/>
    </xf>
    <xf numFmtId="164" fontId="27" fillId="0" borderId="2" xfId="9" applyNumberFormat="1" applyFont="1" applyBorder="1" applyAlignment="1">
      <alignment horizontal="center" vertical="center"/>
    </xf>
    <xf numFmtId="170" fontId="27" fillId="0" borderId="2" xfId="9" applyNumberFormat="1" applyFont="1" applyBorder="1" applyAlignment="1">
      <alignment horizontal="center" vertical="center"/>
    </xf>
    <xf numFmtId="0" fontId="27" fillId="0" borderId="50" xfId="9" applyFont="1" applyBorder="1" applyAlignment="1">
      <alignment vertical="center"/>
    </xf>
    <xf numFmtId="0" fontId="27" fillId="0" borderId="0" xfId="9" applyFont="1" applyAlignment="1">
      <alignment horizontal="center" vertical="center"/>
    </xf>
    <xf numFmtId="174" fontId="27" fillId="0" borderId="0" xfId="9" applyNumberFormat="1" applyFont="1" applyAlignment="1">
      <alignment vertical="center"/>
    </xf>
    <xf numFmtId="170" fontId="34" fillId="0" borderId="0" xfId="9" applyNumberFormat="1" applyFont="1" applyAlignment="1">
      <alignment horizontal="center" vertical="center"/>
    </xf>
    <xf numFmtId="4" fontId="28" fillId="0" borderId="2" xfId="9" applyNumberFormat="1" applyFont="1" applyBorder="1" applyAlignment="1">
      <alignment horizontal="center" vertical="center"/>
    </xf>
    <xf numFmtId="175" fontId="27" fillId="0" borderId="49" xfId="9" applyNumberFormat="1" applyFont="1" applyBorder="1" applyAlignment="1">
      <alignment vertical="center"/>
    </xf>
    <xf numFmtId="0" fontId="28" fillId="0" borderId="51" xfId="9" applyFont="1" applyBorder="1" applyAlignment="1">
      <alignment vertical="center"/>
    </xf>
    <xf numFmtId="0" fontId="27" fillId="0" borderId="52" xfId="9" applyFont="1" applyBorder="1" applyAlignment="1">
      <alignment vertical="center"/>
    </xf>
    <xf numFmtId="0" fontId="27" fillId="0" borderId="53" xfId="9" applyFont="1" applyBorder="1" applyAlignment="1">
      <alignment vertical="center"/>
    </xf>
    <xf numFmtId="170" fontId="27" fillId="0" borderId="53" xfId="9" applyNumberFormat="1" applyFont="1" applyBorder="1" applyAlignment="1">
      <alignment vertical="center"/>
    </xf>
    <xf numFmtId="4" fontId="27" fillId="0" borderId="53" xfId="9" applyNumberFormat="1" applyFont="1" applyBorder="1" applyAlignment="1">
      <alignment horizontal="center" vertical="center"/>
    </xf>
    <xf numFmtId="171" fontId="27" fillId="0" borderId="54" xfId="9" applyNumberFormat="1" applyFont="1" applyBorder="1" applyAlignment="1">
      <alignment vertical="center"/>
    </xf>
    <xf numFmtId="4" fontId="28" fillId="0" borderId="55" xfId="9" quotePrefix="1" applyNumberFormat="1" applyFont="1" applyBorder="1" applyAlignment="1">
      <alignment horizontal="center" vertical="center"/>
    </xf>
    <xf numFmtId="4" fontId="28" fillId="0" borderId="56" xfId="9" applyNumberFormat="1" applyFont="1" applyBorder="1" applyAlignment="1">
      <alignment horizontal="center" vertical="center"/>
    </xf>
    <xf numFmtId="4" fontId="28" fillId="0" borderId="56" xfId="9" quotePrefix="1" applyNumberFormat="1" applyFont="1" applyBorder="1" applyAlignment="1">
      <alignment horizontal="center" vertical="center"/>
    </xf>
    <xf numFmtId="4" fontId="28" fillId="0" borderId="57" xfId="9" quotePrefix="1" applyNumberFormat="1" applyFont="1" applyBorder="1" applyAlignment="1">
      <alignment horizontal="center" vertical="center"/>
    </xf>
    <xf numFmtId="0" fontId="27" fillId="0" borderId="58" xfId="9" applyFont="1" applyBorder="1" applyAlignment="1">
      <alignment horizontal="center" vertical="center"/>
    </xf>
    <xf numFmtId="164" fontId="27" fillId="0" borderId="59" xfId="9" applyNumberFormat="1" applyFont="1" applyBorder="1" applyAlignment="1">
      <alignment horizontal="right" vertical="center"/>
    </xf>
    <xf numFmtId="0" fontId="27" fillId="0" borderId="60" xfId="9" applyFont="1" applyBorder="1" applyAlignment="1">
      <alignment horizontal="center" vertical="center"/>
    </xf>
    <xf numFmtId="164" fontId="27" fillId="0" borderId="61" xfId="9" applyNumberFormat="1" applyFont="1" applyBorder="1" applyAlignment="1">
      <alignment horizontal="right" vertical="center"/>
    </xf>
    <xf numFmtId="176" fontId="27" fillId="0" borderId="0" xfId="9" applyNumberFormat="1" applyFont="1" applyAlignment="1">
      <alignment vertical="center"/>
    </xf>
    <xf numFmtId="170" fontId="27" fillId="0" borderId="0" xfId="9" applyNumberFormat="1" applyFont="1" applyAlignment="1">
      <alignment horizontal="center" vertical="center"/>
    </xf>
    <xf numFmtId="175" fontId="27" fillId="0" borderId="61" xfId="9" applyNumberFormat="1" applyFont="1" applyBorder="1" applyAlignment="1">
      <alignment vertical="center"/>
    </xf>
    <xf numFmtId="0" fontId="28" fillId="0" borderId="62" xfId="9" quotePrefix="1" applyFont="1" applyBorder="1" applyAlignment="1">
      <alignment horizontal="left" vertical="center"/>
    </xf>
    <xf numFmtId="0" fontId="27" fillId="0" borderId="38" xfId="9" applyFont="1" applyBorder="1" applyAlignment="1">
      <alignment vertical="center"/>
    </xf>
    <xf numFmtId="4" fontId="27" fillId="0" borderId="0" xfId="9" applyNumberFormat="1" applyFont="1" applyAlignment="1">
      <alignment horizontal="center" vertical="center"/>
    </xf>
    <xf numFmtId="4" fontId="28" fillId="0" borderId="39" xfId="9" quotePrefix="1" applyNumberFormat="1" applyFont="1" applyBorder="1" applyAlignment="1">
      <alignment horizontal="center" vertical="center"/>
    </xf>
    <xf numFmtId="4" fontId="28" fillId="0" borderId="37" xfId="9" applyNumberFormat="1" applyFont="1" applyBorder="1" applyAlignment="1">
      <alignment horizontal="center" vertical="center"/>
    </xf>
    <xf numFmtId="4" fontId="28" fillId="0" borderId="37" xfId="9" quotePrefix="1" applyNumberFormat="1" applyFont="1" applyBorder="1" applyAlignment="1">
      <alignment horizontal="center" vertical="center"/>
    </xf>
    <xf numFmtId="4" fontId="28" fillId="0" borderId="38" xfId="9" quotePrefix="1" applyNumberFormat="1" applyFont="1" applyBorder="1" applyAlignment="1">
      <alignment horizontal="center" vertical="center"/>
    </xf>
    <xf numFmtId="172" fontId="27" fillId="0" borderId="23" xfId="9" applyNumberFormat="1" applyFont="1" applyBorder="1" applyAlignment="1">
      <alignment horizontal="center" vertical="center"/>
    </xf>
    <xf numFmtId="172" fontId="27" fillId="0" borderId="59" xfId="9" applyNumberFormat="1" applyFont="1" applyBorder="1" applyAlignment="1">
      <alignment horizontal="right" vertical="center"/>
    </xf>
    <xf numFmtId="4" fontId="28" fillId="0" borderId="23" xfId="9" applyNumberFormat="1" applyFont="1" applyBorder="1" applyAlignment="1">
      <alignment horizontal="center" vertical="center"/>
    </xf>
    <xf numFmtId="0" fontId="27" fillId="0" borderId="22" xfId="9" applyFont="1" applyBorder="1" applyAlignment="1">
      <alignment horizontal="left" vertical="center" wrapText="1"/>
    </xf>
    <xf numFmtId="0" fontId="27" fillId="0" borderId="17" xfId="9" applyFont="1" applyBorder="1" applyAlignment="1">
      <alignment horizontal="left" vertical="center" wrapText="1"/>
    </xf>
    <xf numFmtId="0" fontId="27" fillId="0" borderId="3" xfId="9" applyFont="1" applyBorder="1" applyAlignment="1">
      <alignment horizontal="left" vertical="center" wrapText="1"/>
    </xf>
    <xf numFmtId="3" fontId="28" fillId="0" borderId="23" xfId="9" applyNumberFormat="1" applyFont="1" applyBorder="1" applyAlignment="1">
      <alignment horizontal="center" vertical="center"/>
    </xf>
    <xf numFmtId="175" fontId="27" fillId="0" borderId="59" xfId="9" applyNumberFormat="1" applyFont="1" applyBorder="1" applyAlignment="1">
      <alignment vertical="center"/>
    </xf>
    <xf numFmtId="177" fontId="28" fillId="0" borderId="38" xfId="9" applyNumberFormat="1" applyFont="1" applyBorder="1" applyAlignment="1">
      <alignment vertical="center"/>
    </xf>
    <xf numFmtId="176" fontId="28" fillId="0" borderId="0" xfId="9" applyNumberFormat="1" applyFont="1" applyAlignment="1">
      <alignment vertical="center"/>
    </xf>
    <xf numFmtId="177" fontId="28" fillId="0" borderId="57" xfId="9" applyNumberFormat="1" applyFont="1" applyBorder="1" applyAlignment="1">
      <alignment vertical="center"/>
    </xf>
    <xf numFmtId="0" fontId="30" fillId="0" borderId="33" xfId="9" applyFont="1" applyBorder="1"/>
    <xf numFmtId="0" fontId="30" fillId="0" borderId="34" xfId="9" applyFont="1" applyBorder="1"/>
    <xf numFmtId="0" fontId="30" fillId="0" borderId="63" xfId="9" applyFont="1" applyBorder="1"/>
    <xf numFmtId="0" fontId="30" fillId="0" borderId="64" xfId="9" applyFont="1" applyBorder="1"/>
    <xf numFmtId="0" fontId="30" fillId="0" borderId="57" xfId="9" applyFont="1" applyBorder="1"/>
    <xf numFmtId="0" fontId="30" fillId="0" borderId="0" xfId="9" applyFont="1" applyAlignment="1">
      <alignment horizontal="center"/>
    </xf>
    <xf numFmtId="0" fontId="28" fillId="0" borderId="56" xfId="9" applyFont="1" applyBorder="1" applyAlignment="1">
      <alignment horizontal="center" vertical="center"/>
    </xf>
    <xf numFmtId="2" fontId="27" fillId="0" borderId="65" xfId="9" applyNumberFormat="1" applyFont="1" applyBorder="1" applyAlignment="1">
      <alignment vertical="center" wrapText="1"/>
    </xf>
    <xf numFmtId="172" fontId="27" fillId="0" borderId="66" xfId="9" applyNumberFormat="1" applyFont="1" applyBorder="1" applyAlignment="1">
      <alignment vertical="center" wrapText="1"/>
    </xf>
    <xf numFmtId="0" fontId="28" fillId="0" borderId="41" xfId="9" applyFont="1" applyBorder="1" applyAlignment="1">
      <alignment vertical="center"/>
    </xf>
    <xf numFmtId="164" fontId="28" fillId="0" borderId="59" xfId="9" applyNumberFormat="1" applyFont="1" applyBorder="1" applyAlignment="1">
      <alignment horizontal="right" vertical="center"/>
    </xf>
    <xf numFmtId="4" fontId="28" fillId="0" borderId="67" xfId="9" quotePrefix="1" applyNumberFormat="1" applyFont="1" applyBorder="1" applyAlignment="1">
      <alignment horizontal="center" vertical="center"/>
    </xf>
    <xf numFmtId="0" fontId="28" fillId="0" borderId="68" xfId="9" applyFont="1" applyBorder="1" applyAlignment="1">
      <alignment horizontal="center" vertical="center"/>
    </xf>
    <xf numFmtId="4" fontId="28" fillId="0" borderId="68" xfId="9" quotePrefix="1" applyNumberFormat="1" applyFont="1" applyBorder="1" applyAlignment="1">
      <alignment horizontal="center" vertical="center"/>
    </xf>
    <xf numFmtId="4" fontId="28" fillId="0" borderId="69" xfId="9" quotePrefix="1" applyNumberFormat="1" applyFont="1" applyBorder="1" applyAlignment="1">
      <alignment horizontal="center" vertical="center"/>
    </xf>
    <xf numFmtId="2" fontId="27" fillId="0" borderId="5" xfId="9" applyNumberFormat="1" applyFont="1" applyBorder="1" applyAlignment="1">
      <alignment vertical="center" wrapText="1"/>
    </xf>
    <xf numFmtId="172" fontId="27" fillId="0" borderId="13" xfId="9" applyNumberFormat="1" applyFont="1" applyBorder="1" applyAlignment="1">
      <alignment vertical="center" wrapText="1"/>
    </xf>
    <xf numFmtId="164" fontId="27" fillId="0" borderId="70" xfId="9" applyNumberFormat="1" applyFont="1" applyBorder="1" applyAlignment="1">
      <alignment horizontal="right" vertical="center"/>
    </xf>
    <xf numFmtId="4" fontId="28" fillId="0" borderId="71" xfId="9" quotePrefix="1" applyNumberFormat="1" applyFont="1" applyBorder="1" applyAlignment="1">
      <alignment horizontal="center" vertical="center"/>
    </xf>
    <xf numFmtId="4" fontId="28" fillId="0" borderId="28" xfId="9" quotePrefix="1" applyNumberFormat="1" applyFont="1" applyBorder="1" applyAlignment="1">
      <alignment horizontal="center" vertical="center"/>
    </xf>
    <xf numFmtId="0" fontId="16" fillId="0" borderId="0" xfId="9" applyFont="1"/>
    <xf numFmtId="4" fontId="28" fillId="0" borderId="25" xfId="9" applyNumberFormat="1" applyFont="1" applyBorder="1" applyAlignment="1">
      <alignment horizontal="center" vertical="center"/>
    </xf>
    <xf numFmtId="4" fontId="28" fillId="0" borderId="25" xfId="9" quotePrefix="1" applyNumberFormat="1" applyFont="1" applyBorder="1" applyAlignment="1">
      <alignment horizontal="center" vertical="center"/>
    </xf>
    <xf numFmtId="4" fontId="28" fillId="0" borderId="34" xfId="9" quotePrefix="1" applyNumberFormat="1" applyFont="1" applyBorder="1" applyAlignment="1">
      <alignment horizontal="center" vertical="center"/>
    </xf>
    <xf numFmtId="4" fontId="12" fillId="0" borderId="37" xfId="9" quotePrefix="1" applyNumberFormat="1" applyFont="1" applyBorder="1" applyAlignment="1">
      <alignment horizontal="center" vertical="center" wrapText="1"/>
    </xf>
    <xf numFmtId="42" fontId="30" fillId="0" borderId="0" xfId="10" applyFont="1"/>
    <xf numFmtId="172" fontId="30" fillId="0" borderId="0" xfId="9" applyNumberFormat="1" applyFont="1"/>
    <xf numFmtId="4" fontId="28" fillId="0" borderId="33" xfId="9" quotePrefix="1" applyNumberFormat="1" applyFont="1" applyBorder="1" applyAlignment="1">
      <alignment horizontal="center" vertical="center"/>
    </xf>
    <xf numFmtId="4" fontId="28" fillId="0" borderId="5" xfId="9" quotePrefix="1" applyNumberFormat="1" applyFont="1" applyBorder="1" applyAlignment="1">
      <alignment horizontal="center" vertical="center"/>
    </xf>
    <xf numFmtId="4" fontId="27" fillId="0" borderId="5" xfId="9" quotePrefix="1" applyNumberFormat="1" applyFont="1" applyBorder="1" applyAlignment="1">
      <alignment horizontal="center" vertical="center"/>
    </xf>
    <xf numFmtId="0" fontId="28" fillId="0" borderId="50" xfId="9" applyFont="1" applyBorder="1" applyAlignment="1">
      <alignment vertical="center" wrapText="1"/>
    </xf>
    <xf numFmtId="0" fontId="28" fillId="0" borderId="14" xfId="9" applyFont="1" applyBorder="1" applyAlignment="1">
      <alignment vertical="center" wrapText="1"/>
    </xf>
    <xf numFmtId="0" fontId="27" fillId="0" borderId="14" xfId="9" applyFont="1" applyBorder="1" applyAlignment="1">
      <alignment vertical="center"/>
    </xf>
    <xf numFmtId="0" fontId="33" fillId="0" borderId="72" xfId="9" applyFont="1" applyBorder="1" applyAlignment="1">
      <alignment horizontal="center" vertical="center"/>
    </xf>
    <xf numFmtId="0" fontId="27" fillId="0" borderId="73" xfId="9" applyFont="1" applyBorder="1" applyAlignment="1">
      <alignment horizontal="center" vertical="center"/>
    </xf>
    <xf numFmtId="171" fontId="27" fillId="0" borderId="14" xfId="9" applyNumberFormat="1" applyFont="1" applyBorder="1" applyAlignment="1">
      <alignment horizontal="right" vertical="center"/>
    </xf>
    <xf numFmtId="0" fontId="28" fillId="0" borderId="74" xfId="9" quotePrefix="1" applyFont="1" applyBorder="1" applyAlignment="1">
      <alignment vertical="center"/>
    </xf>
    <xf numFmtId="171" fontId="27" fillId="0" borderId="14" xfId="9" applyNumberFormat="1" applyFont="1" applyBorder="1" applyAlignment="1">
      <alignment vertical="center"/>
    </xf>
    <xf numFmtId="172" fontId="27" fillId="0" borderId="75" xfId="9" applyNumberFormat="1" applyFont="1" applyBorder="1" applyAlignment="1">
      <alignment vertical="center" wrapText="1"/>
    </xf>
    <xf numFmtId="4" fontId="28" fillId="0" borderId="76" xfId="9" quotePrefix="1" applyNumberFormat="1" applyFont="1" applyBorder="1" applyAlignment="1">
      <alignment horizontal="center" vertical="center"/>
    </xf>
    <xf numFmtId="4" fontId="28" fillId="0" borderId="77" xfId="9" quotePrefix="1" applyNumberFormat="1" applyFont="1" applyBorder="1" applyAlignment="1">
      <alignment horizontal="center" vertical="center"/>
    </xf>
    <xf numFmtId="164" fontId="28" fillId="0" borderId="70" xfId="9" applyNumberFormat="1" applyFont="1" applyBorder="1" applyAlignment="1">
      <alignment horizontal="right" vertical="center"/>
    </xf>
    <xf numFmtId="0" fontId="28" fillId="0" borderId="78" xfId="9" quotePrefix="1" applyFont="1" applyBorder="1" applyAlignment="1">
      <alignment horizontal="left" vertical="center"/>
    </xf>
    <xf numFmtId="4" fontId="28" fillId="0" borderId="72" xfId="9" quotePrefix="1" applyNumberFormat="1" applyFont="1" applyBorder="1" applyAlignment="1">
      <alignment horizontal="center" vertical="center"/>
    </xf>
    <xf numFmtId="4" fontId="28" fillId="0" borderId="79" xfId="9" quotePrefix="1" applyNumberFormat="1" applyFont="1" applyBorder="1" applyAlignment="1">
      <alignment horizontal="center" vertical="center"/>
    </xf>
    <xf numFmtId="172" fontId="27" fillId="0" borderId="70" xfId="9" applyNumberFormat="1" applyFont="1" applyBorder="1" applyAlignment="1">
      <alignment horizontal="right" vertical="center"/>
    </xf>
    <xf numFmtId="175" fontId="27" fillId="0" borderId="70" xfId="9" applyNumberFormat="1" applyFont="1" applyBorder="1" applyAlignment="1">
      <alignment vertical="center"/>
    </xf>
    <xf numFmtId="177" fontId="28" fillId="0" borderId="79" xfId="9" applyNumberFormat="1" applyFont="1" applyBorder="1" applyAlignment="1">
      <alignment vertical="center"/>
    </xf>
    <xf numFmtId="177" fontId="28" fillId="0" borderId="77" xfId="9" applyNumberFormat="1" applyFont="1" applyBorder="1" applyAlignment="1">
      <alignment vertical="center"/>
    </xf>
    <xf numFmtId="0" fontId="30" fillId="0" borderId="80" xfId="9" applyFont="1" applyBorder="1"/>
    <xf numFmtId="0" fontId="30" fillId="0" borderId="53" xfId="9" applyFont="1" applyBorder="1"/>
    <xf numFmtId="0" fontId="30" fillId="0" borderId="54" xfId="9" applyFont="1" applyBorder="1"/>
    <xf numFmtId="0" fontId="9" fillId="0" borderId="81" xfId="0" applyFont="1" applyBorder="1" applyAlignment="1">
      <alignment horizontal="center"/>
    </xf>
    <xf numFmtId="0" fontId="9" fillId="0" borderId="82" xfId="0" applyFont="1" applyBorder="1" applyAlignment="1">
      <alignment horizontal="center"/>
    </xf>
    <xf numFmtId="0" fontId="36" fillId="0" borderId="83" xfId="11" applyFont="1" applyBorder="1" applyAlignment="1">
      <alignment horizontal="left" vertical="center"/>
    </xf>
    <xf numFmtId="0" fontId="36" fillId="0" borderId="84" xfId="4" applyFont="1" applyBorder="1" applyAlignment="1">
      <alignment vertical="center"/>
    </xf>
    <xf numFmtId="179" fontId="36" fillId="5" borderId="5" xfId="13" applyNumberFormat="1" applyFont="1" applyFill="1" applyBorder="1" applyAlignment="1">
      <alignment horizontal="center" vertical="center"/>
    </xf>
    <xf numFmtId="2" fontId="28" fillId="0" borderId="36" xfId="9" applyNumberFormat="1" applyFont="1" applyBorder="1" applyAlignment="1">
      <alignment horizontal="center" vertical="center" wrapText="1"/>
    </xf>
    <xf numFmtId="180" fontId="27" fillId="0" borderId="23" xfId="9" applyNumberFormat="1" applyFont="1" applyBorder="1" applyAlignment="1">
      <alignment horizontal="center" vertical="center"/>
    </xf>
    <xf numFmtId="181" fontId="27" fillId="0" borderId="23" xfId="9" applyNumberFormat="1" applyFont="1" applyBorder="1" applyAlignment="1">
      <alignment horizontal="center" vertical="center"/>
    </xf>
    <xf numFmtId="49" fontId="6" fillId="0" borderId="74" xfId="0" applyNumberFormat="1" applyFont="1" applyBorder="1" applyAlignment="1">
      <alignment vertical="center" wrapText="1"/>
    </xf>
    <xf numFmtId="0" fontId="35" fillId="0" borderId="81" xfId="0" applyFont="1" applyBorder="1" applyAlignment="1">
      <alignment vertical="center" wrapText="1"/>
    </xf>
    <xf numFmtId="0" fontId="35" fillId="0" borderId="82" xfId="0" applyFont="1" applyBorder="1" applyAlignment="1">
      <alignment vertical="center" wrapText="1"/>
    </xf>
    <xf numFmtId="0" fontId="35" fillId="0" borderId="50" xfId="0" applyFont="1" applyBorder="1" applyAlignment="1">
      <alignment vertical="center" wrapText="1"/>
    </xf>
    <xf numFmtId="0" fontId="35" fillId="0" borderId="0" xfId="0" applyFont="1" applyAlignment="1">
      <alignment vertical="center" wrapText="1"/>
    </xf>
    <xf numFmtId="0" fontId="35" fillId="0" borderId="80" xfId="0" applyFont="1" applyBorder="1" applyAlignment="1">
      <alignment vertical="center" wrapText="1"/>
    </xf>
    <xf numFmtId="0" fontId="35" fillId="0" borderId="53" xfId="0" applyFont="1" applyBorder="1" applyAlignment="1">
      <alignment vertical="center" wrapText="1"/>
    </xf>
    <xf numFmtId="0" fontId="35" fillId="0" borderId="126" xfId="0" applyFont="1" applyBorder="1" applyAlignment="1">
      <alignment vertical="center" wrapText="1"/>
    </xf>
    <xf numFmtId="0" fontId="35" fillId="0" borderId="98" xfId="4" applyFont="1" applyBorder="1" applyAlignment="1">
      <alignment vertical="center"/>
    </xf>
    <xf numFmtId="0" fontId="35" fillId="0" borderId="127" xfId="4" applyFont="1" applyBorder="1" applyAlignment="1">
      <alignment vertical="center"/>
    </xf>
    <xf numFmtId="0" fontId="35" fillId="0" borderId="0" xfId="4" applyFont="1" applyAlignment="1">
      <alignment vertical="center"/>
    </xf>
    <xf numFmtId="3" fontId="36" fillId="0" borderId="0" xfId="12" applyNumberFormat="1" applyFont="1" applyAlignment="1">
      <alignment vertical="center" wrapText="1"/>
    </xf>
    <xf numFmtId="179" fontId="36" fillId="0" borderId="0" xfId="13" applyNumberFormat="1" applyFont="1" applyFill="1" applyBorder="1" applyAlignment="1">
      <alignment horizontal="center" vertical="center"/>
    </xf>
    <xf numFmtId="3" fontId="36" fillId="0" borderId="0" xfId="12" applyNumberFormat="1" applyFont="1" applyAlignment="1">
      <alignment vertical="center"/>
    </xf>
    <xf numFmtId="9" fontId="35" fillId="0" borderId="0" xfId="1" applyFont="1" applyFill="1" applyBorder="1" applyAlignment="1">
      <alignment horizontal="center" vertical="center"/>
    </xf>
    <xf numFmtId="0" fontId="36" fillId="0" borderId="0" xfId="12" applyFont="1" applyAlignment="1">
      <alignment vertical="center"/>
    </xf>
    <xf numFmtId="0" fontId="35" fillId="0" borderId="0" xfId="12" applyFont="1" applyAlignment="1">
      <alignment vertical="center" wrapText="1"/>
    </xf>
    <xf numFmtId="9" fontId="36" fillId="5" borderId="13" xfId="12" applyNumberFormat="1" applyFont="1" applyFill="1" applyBorder="1" applyAlignment="1">
      <alignment horizontal="right" vertical="center"/>
    </xf>
    <xf numFmtId="0" fontId="36" fillId="5" borderId="13" xfId="12" applyFont="1" applyFill="1" applyBorder="1" applyAlignment="1">
      <alignment horizontal="right" vertical="center" wrapText="1"/>
    </xf>
    <xf numFmtId="3" fontId="36" fillId="5" borderId="13" xfId="12" applyNumberFormat="1" applyFont="1" applyFill="1" applyBorder="1" applyAlignment="1">
      <alignment horizontal="right" vertical="center" wrapText="1"/>
    </xf>
    <xf numFmtId="0" fontId="35" fillId="12" borderId="15" xfId="12" applyFont="1" applyFill="1" applyBorder="1" applyAlignment="1">
      <alignment vertical="center" wrapText="1"/>
    </xf>
    <xf numFmtId="3" fontId="36" fillId="5" borderId="128" xfId="12" applyNumberFormat="1" applyFont="1" applyFill="1" applyBorder="1" applyAlignment="1">
      <alignment horizontal="center" vertical="center" wrapText="1"/>
    </xf>
    <xf numFmtId="49" fontId="27" fillId="0" borderId="40" xfId="9" applyNumberFormat="1" applyFont="1" applyBorder="1" applyAlignment="1">
      <alignment horizontal="center" vertical="center"/>
    </xf>
    <xf numFmtId="43" fontId="8" fillId="0" borderId="11" xfId="14" applyFont="1" applyBorder="1" applyAlignment="1">
      <alignment horizontal="right" vertical="center"/>
    </xf>
    <xf numFmtId="44" fontId="0" fillId="0" borderId="129" xfId="0" applyNumberFormat="1" applyBorder="1"/>
    <xf numFmtId="9" fontId="0" fillId="0" borderId="5" xfId="0" applyNumberFormat="1" applyBorder="1"/>
    <xf numFmtId="9" fontId="0" fillId="0" borderId="130" xfId="0" applyNumberFormat="1" applyBorder="1"/>
    <xf numFmtId="176" fontId="28" fillId="0" borderId="95" xfId="9" applyNumberFormat="1" applyFont="1" applyBorder="1" applyAlignment="1">
      <alignment horizontal="right" vertical="center"/>
    </xf>
    <xf numFmtId="0" fontId="27" fillId="0" borderId="65" xfId="9" applyFont="1" applyBorder="1" applyAlignment="1">
      <alignment horizontal="left" vertical="center" wrapText="1"/>
    </xf>
    <xf numFmtId="0" fontId="27" fillId="0" borderId="105" xfId="9" applyFont="1" applyBorder="1" applyAlignment="1">
      <alignment horizontal="left" vertical="center" wrapText="1"/>
    </xf>
    <xf numFmtId="0" fontId="27" fillId="0" borderId="106" xfId="9" applyFont="1" applyBorder="1" applyAlignment="1">
      <alignment horizontal="left" vertical="center" wrapText="1"/>
    </xf>
    <xf numFmtId="0" fontId="27" fillId="0" borderId="107" xfId="9" applyFont="1" applyBorder="1" applyAlignment="1">
      <alignment horizontal="left" vertical="center" wrapText="1"/>
    </xf>
    <xf numFmtId="0" fontId="27" fillId="0" borderId="108" xfId="9" applyFont="1" applyBorder="1" applyAlignment="1">
      <alignment horizontal="left" vertical="center" wrapText="1"/>
    </xf>
    <xf numFmtId="0" fontId="27" fillId="0" borderId="109" xfId="9" applyFont="1" applyBorder="1" applyAlignment="1">
      <alignment horizontal="left" vertical="center" wrapText="1"/>
    </xf>
    <xf numFmtId="4" fontId="28" fillId="0" borderId="110" xfId="9" quotePrefix="1" applyNumberFormat="1" applyFont="1" applyBorder="1" applyAlignment="1">
      <alignment horizontal="center" vertical="center"/>
    </xf>
    <xf numFmtId="4" fontId="28" fillId="0" borderId="86" xfId="9" quotePrefix="1" applyNumberFormat="1" applyFont="1" applyBorder="1" applyAlignment="1">
      <alignment horizontal="center" vertical="center"/>
    </xf>
    <xf numFmtId="4" fontId="28" fillId="0" borderId="111" xfId="9" quotePrefix="1" applyNumberFormat="1" applyFont="1" applyBorder="1" applyAlignment="1">
      <alignment horizontal="center" vertical="center"/>
    </xf>
    <xf numFmtId="0" fontId="28" fillId="0" borderId="78" xfId="9" applyFont="1" applyBorder="1" applyAlignment="1">
      <alignment horizontal="center" vertical="center"/>
    </xf>
    <xf numFmtId="0" fontId="28" fillId="0" borderId="88" xfId="9" applyFont="1" applyBorder="1" applyAlignment="1">
      <alignment horizontal="center" vertical="center"/>
    </xf>
    <xf numFmtId="0" fontId="28" fillId="0" borderId="79" xfId="9" applyFont="1" applyBorder="1" applyAlignment="1">
      <alignment horizontal="center" vertical="center"/>
    </xf>
    <xf numFmtId="0" fontId="27" fillId="0" borderId="35" xfId="9" applyFont="1" applyBorder="1" applyAlignment="1">
      <alignment horizontal="center" vertical="center" wrapText="1"/>
    </xf>
    <xf numFmtId="0" fontId="27" fillId="0" borderId="88" xfId="9" applyFont="1" applyBorder="1" applyAlignment="1">
      <alignment horizontal="center" vertical="center" wrapText="1"/>
    </xf>
    <xf numFmtId="0" fontId="27" fillId="0" borderId="37" xfId="9" applyFont="1" applyBorder="1" applyAlignment="1">
      <alignment horizontal="center" vertical="center" wrapText="1"/>
    </xf>
    <xf numFmtId="0" fontId="28" fillId="0" borderId="116" xfId="9" applyFont="1" applyBorder="1" applyAlignment="1">
      <alignment horizontal="center" vertical="center"/>
    </xf>
    <xf numFmtId="0" fontId="28" fillId="0" borderId="95" xfId="9" applyFont="1" applyBorder="1" applyAlignment="1">
      <alignment horizontal="center" vertical="center"/>
    </xf>
    <xf numFmtId="0" fontId="28" fillId="0" borderId="68" xfId="9" applyFont="1" applyBorder="1" applyAlignment="1">
      <alignment horizontal="center" vertical="center"/>
    </xf>
    <xf numFmtId="1" fontId="27" fillId="0" borderId="113" xfId="9" applyNumberFormat="1" applyFont="1" applyBorder="1" applyAlignment="1">
      <alignment horizontal="left" vertical="center" wrapText="1"/>
    </xf>
    <xf numFmtId="1" fontId="27" fillId="0" borderId="114" xfId="9" applyNumberFormat="1" applyFont="1" applyBorder="1" applyAlignment="1">
      <alignment horizontal="left" vertical="center" wrapText="1"/>
    </xf>
    <xf numFmtId="1" fontId="27" fillId="0" borderId="115" xfId="9" applyNumberFormat="1" applyFont="1" applyBorder="1" applyAlignment="1">
      <alignment horizontal="left" vertical="center" wrapText="1"/>
    </xf>
    <xf numFmtId="1" fontId="27" fillId="0" borderId="117" xfId="9" applyNumberFormat="1" applyFont="1" applyBorder="1" applyAlignment="1">
      <alignment horizontal="left" vertical="center" wrapText="1"/>
    </xf>
    <xf numFmtId="1" fontId="27" fillId="0" borderId="91" xfId="9" applyNumberFormat="1" applyFont="1" applyBorder="1" applyAlignment="1">
      <alignment horizontal="left" vertical="center" wrapText="1"/>
    </xf>
    <xf numFmtId="1" fontId="27" fillId="0" borderId="100" xfId="9" applyNumberFormat="1" applyFont="1" applyBorder="1" applyAlignment="1">
      <alignment horizontal="left" vertical="center" wrapText="1"/>
    </xf>
    <xf numFmtId="0" fontId="28" fillId="0" borderId="122" xfId="9" applyFont="1" applyBorder="1" applyAlignment="1">
      <alignment horizontal="center" vertical="center" wrapText="1"/>
    </xf>
    <xf numFmtId="0" fontId="28" fillId="0" borderId="120" xfId="9" applyFont="1" applyBorder="1" applyAlignment="1">
      <alignment horizontal="center" vertical="center" wrapText="1"/>
    </xf>
    <xf numFmtId="0" fontId="28" fillId="0" borderId="123" xfId="9" applyFont="1" applyBorder="1" applyAlignment="1">
      <alignment horizontal="center" vertical="center" wrapText="1"/>
    </xf>
    <xf numFmtId="0" fontId="28" fillId="0" borderId="56" xfId="9" applyFont="1" applyBorder="1" applyAlignment="1">
      <alignment horizontal="center" vertical="center" wrapText="1"/>
    </xf>
    <xf numFmtId="0" fontId="29" fillId="0" borderId="118" xfId="9" applyFont="1" applyBorder="1" applyAlignment="1">
      <alignment horizontal="center" vertical="center" wrapText="1"/>
    </xf>
    <xf numFmtId="0" fontId="29" fillId="0" borderId="119" xfId="9" applyFont="1" applyBorder="1" applyAlignment="1">
      <alignment horizontal="center" vertical="center" wrapText="1"/>
    </xf>
    <xf numFmtId="0" fontId="29" fillId="0" borderId="120" xfId="9" applyFont="1" applyBorder="1" applyAlignment="1">
      <alignment horizontal="center" vertical="center" wrapText="1"/>
    </xf>
    <xf numFmtId="0" fontId="29" fillId="0" borderId="104" xfId="9" applyFont="1" applyBorder="1" applyAlignment="1">
      <alignment horizontal="center" vertical="center" wrapText="1"/>
    </xf>
    <xf numFmtId="0" fontId="29" fillId="0" borderId="64" xfId="9" applyFont="1" applyBorder="1" applyAlignment="1">
      <alignment horizontal="center" vertical="center" wrapText="1"/>
    </xf>
    <xf numFmtId="0" fontId="29" fillId="0" borderId="56" xfId="9" applyFont="1" applyBorder="1" applyAlignment="1">
      <alignment horizontal="center" vertical="center" wrapText="1"/>
    </xf>
    <xf numFmtId="0" fontId="28" fillId="0" borderId="118" xfId="9" applyFont="1" applyBorder="1" applyAlignment="1">
      <alignment horizontal="center" wrapText="1"/>
    </xf>
    <xf numFmtId="0" fontId="28" fillId="0" borderId="124" xfId="9" applyFont="1" applyBorder="1" applyAlignment="1">
      <alignment horizontal="center" wrapText="1"/>
    </xf>
    <xf numFmtId="0" fontId="28" fillId="0" borderId="104" xfId="9" applyFont="1" applyBorder="1" applyAlignment="1">
      <alignment horizontal="center" wrapText="1"/>
    </xf>
    <xf numFmtId="0" fontId="28" fillId="0" borderId="77" xfId="9" applyFont="1" applyBorder="1" applyAlignment="1">
      <alignment horizontal="center" wrapText="1"/>
    </xf>
    <xf numFmtId="0" fontId="28" fillId="0" borderId="62" xfId="9" applyFont="1" applyBorder="1" applyAlignment="1">
      <alignment horizontal="center" vertical="center"/>
    </xf>
    <xf numFmtId="0" fontId="28" fillId="0" borderId="37" xfId="9" applyFont="1" applyBorder="1" applyAlignment="1">
      <alignment horizontal="center" vertical="center"/>
    </xf>
    <xf numFmtId="0" fontId="28" fillId="11" borderId="74" xfId="9" applyFont="1" applyFill="1" applyBorder="1" applyAlignment="1">
      <alignment horizontal="center" vertical="center" wrapText="1"/>
    </xf>
    <xf numFmtId="0" fontId="28" fillId="11" borderId="101" xfId="9" applyFont="1" applyFill="1" applyBorder="1" applyAlignment="1">
      <alignment horizontal="center" vertical="center" wrapText="1"/>
    </xf>
    <xf numFmtId="0" fontId="28" fillId="11" borderId="50" xfId="9" applyFont="1" applyFill="1" applyBorder="1" applyAlignment="1">
      <alignment horizontal="center" vertical="center" wrapText="1"/>
    </xf>
    <xf numFmtId="0" fontId="28" fillId="11" borderId="25" xfId="9" applyFont="1" applyFill="1" applyBorder="1" applyAlignment="1">
      <alignment horizontal="center" vertical="center" wrapText="1"/>
    </xf>
    <xf numFmtId="0" fontId="28" fillId="11" borderId="123" xfId="9" applyFont="1" applyFill="1" applyBorder="1" applyAlignment="1">
      <alignment horizontal="center" vertical="center" wrapText="1"/>
    </xf>
    <xf numFmtId="0" fontId="28" fillId="11" borderId="56" xfId="9" applyFont="1" applyFill="1" applyBorder="1" applyAlignment="1">
      <alignment horizontal="center" vertical="center" wrapText="1"/>
    </xf>
    <xf numFmtId="0" fontId="27" fillId="0" borderId="102" xfId="9" applyFont="1" applyBorder="1" applyAlignment="1">
      <alignment horizontal="center" vertical="center" wrapText="1"/>
    </xf>
    <xf numFmtId="0" fontId="27" fillId="0" borderId="103" xfId="9" applyFont="1" applyBorder="1" applyAlignment="1">
      <alignment horizontal="center" vertical="center" wrapText="1"/>
    </xf>
    <xf numFmtId="0" fontId="27" fillId="0" borderId="125" xfId="9" applyFont="1" applyBorder="1" applyAlignment="1">
      <alignment horizontal="center" vertical="center" wrapText="1"/>
    </xf>
    <xf numFmtId="0" fontId="27" fillId="0" borderId="28" xfId="9" applyFont="1" applyBorder="1" applyAlignment="1">
      <alignment horizontal="center" vertical="center" wrapText="1"/>
    </xf>
    <xf numFmtId="0" fontId="27" fillId="0" borderId="0" xfId="9" applyFont="1" applyAlignment="1">
      <alignment horizontal="center" vertical="center" wrapText="1"/>
    </xf>
    <xf numFmtId="0" fontId="27" fillId="0" borderId="14" xfId="9" applyFont="1" applyBorder="1" applyAlignment="1">
      <alignment horizontal="center" vertical="center" wrapText="1"/>
    </xf>
    <xf numFmtId="0" fontId="27" fillId="0" borderId="104" xfId="9" applyFont="1" applyBorder="1" applyAlignment="1">
      <alignment horizontal="center" vertical="center" wrapText="1"/>
    </xf>
    <xf numFmtId="0" fontId="27" fillId="0" borderId="64" xfId="9" applyFont="1" applyBorder="1" applyAlignment="1">
      <alignment horizontal="center" vertical="center" wrapText="1"/>
    </xf>
    <xf numFmtId="0" fontId="27" fillId="0" borderId="77" xfId="9" applyFont="1" applyBorder="1" applyAlignment="1">
      <alignment horizontal="center" vertical="center" wrapText="1"/>
    </xf>
    <xf numFmtId="4" fontId="27" fillId="0" borderId="5" xfId="9" quotePrefix="1" applyNumberFormat="1" applyFont="1" applyBorder="1" applyAlignment="1">
      <alignment horizontal="left" vertical="center"/>
    </xf>
    <xf numFmtId="0" fontId="28" fillId="11" borderId="41" xfId="9" applyFont="1" applyFill="1" applyBorder="1" applyAlignment="1">
      <alignment horizontal="center" vertical="center" wrapText="1"/>
    </xf>
    <xf numFmtId="0" fontId="28" fillId="11" borderId="33" xfId="9" applyFont="1" applyFill="1" applyBorder="1" applyAlignment="1">
      <alignment horizontal="center" vertical="center" wrapText="1"/>
    </xf>
    <xf numFmtId="0" fontId="28" fillId="11" borderId="63" xfId="9" applyFont="1" applyFill="1" applyBorder="1" applyAlignment="1">
      <alignment horizontal="center" vertical="center" wrapText="1"/>
    </xf>
    <xf numFmtId="0" fontId="27" fillId="0" borderId="42" xfId="9" applyFont="1" applyBorder="1" applyAlignment="1">
      <alignment horizontal="center" vertical="center" wrapText="1"/>
    </xf>
    <xf numFmtId="0" fontId="27" fillId="0" borderId="34" xfId="9" applyFont="1" applyBorder="1" applyAlignment="1">
      <alignment horizontal="center" vertical="center" wrapText="1"/>
    </xf>
    <xf numFmtId="0" fontId="27" fillId="0" borderId="57" xfId="9" applyFont="1" applyBorder="1" applyAlignment="1">
      <alignment horizontal="center" vertical="center" wrapText="1"/>
    </xf>
    <xf numFmtId="0" fontId="28" fillId="0" borderId="38" xfId="9" applyFont="1" applyBorder="1" applyAlignment="1">
      <alignment horizontal="center" vertical="center"/>
    </xf>
    <xf numFmtId="0" fontId="28" fillId="0" borderId="41" xfId="9" applyFont="1" applyBorder="1" applyAlignment="1">
      <alignment horizontal="center" vertical="center" wrapText="1"/>
    </xf>
    <xf numFmtId="0" fontId="28" fillId="0" borderId="101" xfId="9" applyFont="1" applyBorder="1" applyAlignment="1">
      <alignment horizontal="center" vertical="center" wrapText="1"/>
    </xf>
    <xf numFmtId="0" fontId="28" fillId="0" borderId="63" xfId="9" applyFont="1" applyBorder="1" applyAlignment="1">
      <alignment horizontal="center" vertical="center" wrapText="1"/>
    </xf>
    <xf numFmtId="0" fontId="29" fillId="0" borderId="102" xfId="9" applyFont="1" applyBorder="1" applyAlignment="1">
      <alignment horizontal="center" vertical="center" wrapText="1"/>
    </xf>
    <xf numFmtId="0" fontId="29" fillId="0" borderId="103" xfId="9" applyFont="1" applyBorder="1" applyAlignment="1">
      <alignment horizontal="center" vertical="center" wrapText="1"/>
    </xf>
    <xf numFmtId="0" fontId="29" fillId="0" borderId="101" xfId="9" applyFont="1" applyBorder="1" applyAlignment="1">
      <alignment horizontal="center" vertical="center" wrapText="1"/>
    </xf>
    <xf numFmtId="0" fontId="28" fillId="0" borderId="102" xfId="9" applyFont="1" applyBorder="1" applyAlignment="1">
      <alignment horizontal="center" wrapText="1"/>
    </xf>
    <xf numFmtId="0" fontId="28" fillId="0" borderId="42" xfId="9" applyFont="1" applyBorder="1" applyAlignment="1">
      <alignment horizontal="center" wrapText="1"/>
    </xf>
    <xf numFmtId="0" fontId="28" fillId="0" borderId="57" xfId="9" applyFont="1" applyBorder="1" applyAlignment="1">
      <alignment horizontal="center" wrapText="1"/>
    </xf>
    <xf numFmtId="0" fontId="27" fillId="0" borderId="121" xfId="9" applyFont="1" applyBorder="1" applyAlignment="1">
      <alignment horizontal="left" vertical="center" wrapText="1"/>
    </xf>
    <xf numFmtId="0" fontId="27" fillId="0" borderId="1" xfId="9" applyFont="1" applyBorder="1" applyAlignment="1">
      <alignment horizontal="left" vertical="center" wrapText="1"/>
    </xf>
    <xf numFmtId="0" fontId="27" fillId="0" borderId="29" xfId="9" applyFont="1" applyBorder="1" applyAlignment="1">
      <alignment horizontal="left" vertical="center" wrapText="1"/>
    </xf>
    <xf numFmtId="4" fontId="28" fillId="0" borderId="118" xfId="9" quotePrefix="1" applyNumberFormat="1" applyFont="1" applyBorder="1" applyAlignment="1">
      <alignment horizontal="center" vertical="center"/>
    </xf>
    <xf numFmtId="4" fontId="28" fillId="0" borderId="119" xfId="9" quotePrefix="1" applyNumberFormat="1" applyFont="1" applyBorder="1" applyAlignment="1">
      <alignment horizontal="center" vertical="center"/>
    </xf>
    <xf numFmtId="4" fontId="28" fillId="0" borderId="120" xfId="9" quotePrefix="1" applyNumberFormat="1" applyFont="1" applyBorder="1" applyAlignment="1">
      <alignment horizontal="center" vertical="center"/>
    </xf>
    <xf numFmtId="0" fontId="27" fillId="0" borderId="35" xfId="9" applyFont="1" applyBorder="1" applyAlignment="1">
      <alignment horizontal="left" vertical="center" wrapText="1"/>
    </xf>
    <xf numFmtId="0" fontId="27" fillId="0" borderId="88" xfId="9" applyFont="1" applyBorder="1" applyAlignment="1">
      <alignment horizontal="left" vertical="center" wrapText="1"/>
    </xf>
    <xf numFmtId="0" fontId="27" fillId="0" borderId="37" xfId="9" applyFont="1" applyBorder="1" applyAlignment="1">
      <alignment horizontal="left" vertical="center" wrapText="1"/>
    </xf>
    <xf numFmtId="0" fontId="28" fillId="0" borderId="112" xfId="9" quotePrefix="1" applyFont="1" applyBorder="1" applyAlignment="1">
      <alignment horizontal="center" vertical="center"/>
    </xf>
    <xf numFmtId="0" fontId="28" fillId="0" borderId="95" xfId="9" quotePrefix="1" applyFont="1" applyBorder="1" applyAlignment="1">
      <alignment horizontal="center" vertical="center"/>
    </xf>
    <xf numFmtId="0" fontId="28" fillId="0" borderId="69" xfId="9" quotePrefix="1" applyFont="1" applyBorder="1" applyAlignment="1">
      <alignment horizontal="center" vertical="center"/>
    </xf>
    <xf numFmtId="0" fontId="28" fillId="0" borderId="104" xfId="9" applyFont="1" applyBorder="1" applyAlignment="1">
      <alignment horizontal="center" vertical="center"/>
    </xf>
    <xf numFmtId="0" fontId="28" fillId="0" borderId="64" xfId="9" applyFont="1" applyBorder="1" applyAlignment="1">
      <alignment horizontal="center" vertical="center"/>
    </xf>
    <xf numFmtId="0" fontId="28" fillId="0" borderId="56" xfId="9" applyFont="1" applyBorder="1" applyAlignment="1">
      <alignment horizontal="center" vertical="center"/>
    </xf>
    <xf numFmtId="0" fontId="28" fillId="0" borderId="94" xfId="9" applyFont="1" applyBorder="1" applyAlignment="1">
      <alignment horizontal="center" vertical="center"/>
    </xf>
    <xf numFmtId="0" fontId="28" fillId="0" borderId="96" xfId="9" applyFont="1" applyBorder="1" applyAlignment="1">
      <alignment horizontal="center" vertical="center"/>
    </xf>
    <xf numFmtId="1" fontId="27" fillId="0" borderId="97" xfId="9" applyNumberFormat="1" applyFont="1" applyBorder="1" applyAlignment="1">
      <alignment horizontal="left" vertical="center" wrapText="1"/>
    </xf>
    <xf numFmtId="1" fontId="27" fillId="0" borderId="98" xfId="9" applyNumberFormat="1" applyFont="1" applyBorder="1" applyAlignment="1">
      <alignment horizontal="left" vertical="center" wrapText="1"/>
    </xf>
    <xf numFmtId="1" fontId="27" fillId="0" borderId="99" xfId="9" applyNumberFormat="1" applyFont="1" applyBorder="1" applyAlignment="1">
      <alignment horizontal="left" vertical="center" wrapText="1"/>
    </xf>
    <xf numFmtId="1" fontId="27" fillId="0" borderId="18" xfId="9" applyNumberFormat="1" applyFont="1" applyBorder="1" applyAlignment="1">
      <alignment horizontal="left" vertical="center" wrapText="1"/>
    </xf>
    <xf numFmtId="0" fontId="27" fillId="0" borderId="18" xfId="9" applyFont="1" applyBorder="1" applyAlignment="1">
      <alignment horizontal="left" vertical="center" wrapText="1"/>
    </xf>
    <xf numFmtId="0" fontId="27" fillId="0" borderId="91" xfId="9" applyFont="1" applyBorder="1" applyAlignment="1">
      <alignment horizontal="left" vertical="center" wrapText="1"/>
    </xf>
    <xf numFmtId="0" fontId="27" fillId="0" borderId="100" xfId="9" applyFont="1" applyBorder="1" applyAlignment="1">
      <alignment horizontal="left" vertical="center" wrapText="1"/>
    </xf>
    <xf numFmtId="0" fontId="35" fillId="5" borderId="83" xfId="12" applyFont="1" applyFill="1" applyBorder="1" applyAlignment="1">
      <alignment horizontal="left" vertical="center" wrapText="1"/>
    </xf>
    <xf numFmtId="0" fontId="35" fillId="5" borderId="100" xfId="12" applyFont="1" applyFill="1" applyBorder="1" applyAlignment="1">
      <alignment horizontal="left" vertical="center" wrapText="1"/>
    </xf>
    <xf numFmtId="0" fontId="35" fillId="5" borderId="83" xfId="12" applyFont="1" applyFill="1" applyBorder="1" applyAlignment="1">
      <alignment horizontal="center" vertical="center" wrapText="1"/>
    </xf>
    <xf numFmtId="0" fontId="35" fillId="5" borderId="100" xfId="12" applyFont="1" applyFill="1" applyBorder="1" applyAlignment="1">
      <alignment horizontal="center" vertical="center" wrapText="1"/>
    </xf>
    <xf numFmtId="3" fontId="36" fillId="5" borderId="5" xfId="12" applyNumberFormat="1" applyFont="1" applyFill="1" applyBorder="1" applyAlignment="1">
      <alignment horizontal="center" vertical="center" wrapText="1"/>
    </xf>
    <xf numFmtId="3" fontId="36" fillId="5" borderId="5" xfId="12" applyNumberFormat="1" applyFont="1" applyFill="1" applyBorder="1" applyAlignment="1">
      <alignment horizontal="center" vertical="center"/>
    </xf>
    <xf numFmtId="0" fontId="36" fillId="5" borderId="5" xfId="12" applyFont="1" applyFill="1" applyBorder="1" applyAlignment="1">
      <alignment horizontal="center" vertical="center" wrapText="1"/>
    </xf>
    <xf numFmtId="0" fontId="36" fillId="5" borderId="5" xfId="12" applyFont="1" applyFill="1" applyBorder="1" applyAlignment="1">
      <alignment horizontal="center" vertical="center"/>
    </xf>
    <xf numFmtId="0" fontId="36" fillId="5" borderId="18" xfId="12" applyFont="1" applyFill="1" applyBorder="1" applyAlignment="1">
      <alignment horizontal="center" vertical="center" wrapText="1"/>
    </xf>
    <xf numFmtId="0" fontId="36" fillId="5" borderId="91" xfId="12" applyFont="1" applyFill="1" applyBorder="1" applyAlignment="1">
      <alignment horizontal="center" vertical="center" wrapText="1"/>
    </xf>
    <xf numFmtId="0" fontId="36" fillId="5" borderId="129" xfId="12" applyFont="1" applyFill="1" applyBorder="1" applyAlignment="1">
      <alignment horizontal="center" vertical="center" wrapText="1"/>
    </xf>
    <xf numFmtId="49" fontId="2" fillId="0" borderId="85" xfId="0" applyNumberFormat="1" applyFont="1" applyBorder="1" applyAlignment="1">
      <alignment horizontal="center"/>
    </xf>
    <xf numFmtId="0" fontId="3" fillId="0" borderId="86" xfId="0" applyFont="1" applyBorder="1"/>
    <xf numFmtId="0" fontId="3" fillId="0" borderId="87" xfId="0" applyFont="1" applyBorder="1"/>
    <xf numFmtId="49" fontId="4" fillId="10" borderId="78" xfId="0" applyNumberFormat="1" applyFont="1" applyFill="1" applyBorder="1" applyAlignment="1">
      <alignment horizontal="center" wrapText="1"/>
    </xf>
    <xf numFmtId="0" fontId="3" fillId="0" borderId="88" xfId="0" applyFont="1" applyBorder="1"/>
    <xf numFmtId="0" fontId="3" fillId="0" borderId="79" xfId="0" applyFont="1" applyBorder="1"/>
    <xf numFmtId="0" fontId="9" fillId="0" borderId="11" xfId="0" applyFont="1" applyBorder="1" applyAlignment="1">
      <alignment horizontal="center"/>
    </xf>
    <xf numFmtId="0" fontId="9" fillId="0" borderId="5" xfId="0" applyFont="1" applyBorder="1" applyAlignment="1">
      <alignment horizontal="center"/>
    </xf>
    <xf numFmtId="0" fontId="9" fillId="0" borderId="89" xfId="0" applyFont="1" applyBorder="1" applyAlignment="1">
      <alignment horizontal="center"/>
    </xf>
    <xf numFmtId="0" fontId="9" fillId="0" borderId="90" xfId="0" applyFont="1" applyBorder="1" applyAlignment="1">
      <alignment horizontal="center"/>
    </xf>
    <xf numFmtId="0" fontId="9" fillId="0" borderId="83" xfId="0" applyFont="1" applyBorder="1" applyAlignment="1">
      <alignment horizontal="center"/>
    </xf>
    <xf numFmtId="0" fontId="9" fillId="0" borderId="91" xfId="0" applyFont="1" applyBorder="1" applyAlignment="1">
      <alignment horizontal="center"/>
    </xf>
    <xf numFmtId="0" fontId="3" fillId="0" borderId="92" xfId="0" applyFont="1" applyBorder="1" applyAlignment="1">
      <alignment horizontal="center" vertical="justify"/>
    </xf>
    <xf numFmtId="0" fontId="3" fillId="0" borderId="93" xfId="0" applyFont="1" applyBorder="1" applyAlignment="1">
      <alignment horizontal="center" vertical="justify"/>
    </xf>
    <xf numFmtId="0" fontId="1" fillId="0" borderId="22" xfId="9" applyFont="1" applyBorder="1" applyAlignment="1">
      <alignment horizontal="center"/>
    </xf>
    <xf numFmtId="0" fontId="16" fillId="0" borderId="17" xfId="9" applyFont="1" applyBorder="1"/>
    <xf numFmtId="0" fontId="16" fillId="0" borderId="3" xfId="9" applyFont="1" applyBorder="1"/>
    <xf numFmtId="0" fontId="1" fillId="0" borderId="22" xfId="9" applyFont="1" applyBorder="1" applyAlignment="1">
      <alignment horizontal="left"/>
    </xf>
    <xf numFmtId="0" fontId="1" fillId="0" borderId="22" xfId="9" applyFont="1" applyBorder="1" applyAlignment="1">
      <alignment horizontal="center" vertical="center"/>
    </xf>
    <xf numFmtId="0" fontId="16" fillId="0" borderId="17" xfId="9" applyFont="1" applyBorder="1" applyAlignment="1">
      <alignment vertical="center"/>
    </xf>
    <xf numFmtId="0" fontId="16" fillId="0" borderId="3" xfId="9" applyFont="1" applyBorder="1" applyAlignment="1">
      <alignment vertical="center"/>
    </xf>
    <xf numFmtId="0" fontId="1" fillId="0" borderId="22" xfId="9" applyFont="1" applyBorder="1" applyAlignment="1">
      <alignment horizontal="left" vertical="center"/>
    </xf>
    <xf numFmtId="0" fontId="15" fillId="0" borderId="22" xfId="9" applyFont="1" applyBorder="1" applyAlignment="1">
      <alignment horizontal="center"/>
    </xf>
    <xf numFmtId="4" fontId="15" fillId="0" borderId="22" xfId="9" quotePrefix="1" applyNumberFormat="1" applyFont="1" applyBorder="1" applyAlignment="1">
      <alignment horizontal="center" vertical="center"/>
    </xf>
    <xf numFmtId="0" fontId="1" fillId="0" borderId="22" xfId="6" applyFont="1" applyBorder="1" applyAlignment="1">
      <alignment horizontal="left" vertical="center"/>
    </xf>
    <xf numFmtId="0" fontId="16" fillId="0" borderId="17" xfId="6" applyFont="1" applyBorder="1" applyAlignment="1">
      <alignment vertical="center"/>
    </xf>
    <xf numFmtId="0" fontId="16" fillId="0" borderId="3" xfId="6" applyFont="1" applyBorder="1" applyAlignment="1">
      <alignment vertical="center"/>
    </xf>
    <xf numFmtId="0" fontId="14" fillId="0" borderId="5" xfId="6" applyFont="1" applyBorder="1" applyAlignment="1">
      <alignment horizontal="center" vertical="center" wrapText="1"/>
    </xf>
    <xf numFmtId="44" fontId="14" fillId="0" borderId="5" xfId="7" applyFont="1" applyBorder="1" applyAlignment="1">
      <alignment horizontal="center" vertical="center"/>
    </xf>
    <xf numFmtId="0" fontId="12" fillId="0" borderId="22" xfId="6" applyFont="1" applyBorder="1" applyAlignment="1">
      <alignment horizontal="center" vertical="center"/>
    </xf>
    <xf numFmtId="0" fontId="13" fillId="0" borderId="17" xfId="6" applyFont="1" applyBorder="1" applyAlignment="1">
      <alignment vertical="center"/>
    </xf>
    <xf numFmtId="0" fontId="13" fillId="0" borderId="30" xfId="6" applyFont="1" applyBorder="1" applyAlignment="1">
      <alignment vertical="center"/>
    </xf>
    <xf numFmtId="4" fontId="15" fillId="0" borderId="22" xfId="6" quotePrefix="1" applyNumberFormat="1" applyFont="1" applyBorder="1" applyAlignment="1">
      <alignment horizontal="center" vertical="center"/>
    </xf>
    <xf numFmtId="0" fontId="1" fillId="0" borderId="121" xfId="6" applyFont="1" applyBorder="1" applyAlignment="1">
      <alignment horizontal="left" vertical="center"/>
    </xf>
    <xf numFmtId="0" fontId="1" fillId="0" borderId="1" xfId="6" applyFont="1" applyBorder="1" applyAlignment="1">
      <alignment horizontal="left" vertical="center"/>
    </xf>
    <xf numFmtId="0" fontId="1" fillId="0" borderId="29" xfId="6" applyFont="1" applyBorder="1" applyAlignment="1">
      <alignment horizontal="left" vertical="center"/>
    </xf>
  </cellXfs>
  <cellStyles count="15">
    <cellStyle name="Millares" xfId="14" builtinId="3"/>
    <cellStyle name="Millares_FORMULARIO 4 - M-OFERENTE PPTA ECONOMICA" xfId="13" xr:uid="{00000000-0005-0000-0000-000011000000}"/>
    <cellStyle name="Moneda [0] 2" xfId="10" xr:uid="{00000000-0005-0000-0000-00000E000000}"/>
    <cellStyle name="Moneda 2" xfId="5" xr:uid="{00000000-0005-0000-0000-000009000000}"/>
    <cellStyle name="Moneda 3" xfId="7" xr:uid="{00000000-0005-0000-0000-00000B000000}"/>
    <cellStyle name="Normal" xfId="0" builtinId="0"/>
    <cellStyle name="Normal 2" xfId="3" xr:uid="{00000000-0005-0000-0000-000007000000}"/>
    <cellStyle name="Normal 2 2" xfId="4" xr:uid="{00000000-0005-0000-0000-000008000000}"/>
    <cellStyle name="Normal 3" xfId="9" xr:uid="{00000000-0005-0000-0000-00000D000000}"/>
    <cellStyle name="Normal 3 11" xfId="12" xr:uid="{00000000-0005-0000-0000-000010000000}"/>
    <cellStyle name="Normal 3 2 2" xfId="11" xr:uid="{00000000-0005-0000-0000-00000F000000}"/>
    <cellStyle name="Normal 8" xfId="6" xr:uid="{00000000-0005-0000-0000-00000A000000}"/>
    <cellStyle name="Percent" xfId="1" xr:uid="{00000000-0005-0000-0000-000001000000}"/>
    <cellStyle name="Porcentaje" xfId="2" builtinId="5"/>
    <cellStyle name="Porcentaje 4" xfId="8" xr:uid="{00000000-0005-0000-0000-00000C000000}"/>
  </cellStyles>
  <dxfs count="42">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F2F50-CBDC-47BC-9A82-3DBB6E851DF4}">
  <dimension ref="A1:I45"/>
  <sheetViews>
    <sheetView tabSelected="1" topLeftCell="B1" workbookViewId="0">
      <selection activeCell="H28" sqref="H28"/>
    </sheetView>
  </sheetViews>
  <sheetFormatPr baseColWidth="10" defaultColWidth="11.42578125" defaultRowHeight="15" x14ac:dyDescent="0.25"/>
  <cols>
    <col min="2" max="2" width="31.28515625" customWidth="1"/>
    <col min="3" max="3" width="20.42578125" customWidth="1"/>
    <col min="5" max="5" width="15.5703125" customWidth="1"/>
    <col min="6" max="6" width="21.140625" customWidth="1"/>
    <col min="9" max="9" width="16.5703125" customWidth="1"/>
  </cols>
  <sheetData>
    <row r="1" spans="1:6" ht="21" thickBot="1" x14ac:dyDescent="0.35">
      <c r="A1" s="502" t="s">
        <v>0</v>
      </c>
      <c r="B1" s="503"/>
      <c r="C1" s="503"/>
      <c r="D1" s="503"/>
      <c r="E1" s="503"/>
      <c r="F1" s="504"/>
    </row>
    <row r="2" spans="1:6" ht="17.25" thickBot="1" x14ac:dyDescent="0.35">
      <c r="A2" s="505"/>
      <c r="B2" s="506"/>
      <c r="C2" s="506"/>
      <c r="D2" s="506"/>
      <c r="E2" s="506"/>
      <c r="F2" s="507"/>
    </row>
    <row r="3" spans="1:6" ht="35.450000000000003" customHeight="1" thickBot="1" x14ac:dyDescent="0.3">
      <c r="A3" s="367" t="s">
        <v>1111</v>
      </c>
      <c r="B3" s="514" t="s">
        <v>1110</v>
      </c>
      <c r="C3" s="514"/>
      <c r="D3" s="514"/>
      <c r="E3" s="514"/>
      <c r="F3" s="515"/>
    </row>
    <row r="4" spans="1:6" ht="16.5" x14ac:dyDescent="0.3">
      <c r="A4" s="34" t="s">
        <v>1</v>
      </c>
      <c r="B4" s="56" t="s">
        <v>2</v>
      </c>
      <c r="C4" s="57" t="s">
        <v>3</v>
      </c>
      <c r="D4" s="58" t="s">
        <v>4</v>
      </c>
      <c r="E4" s="59" t="s">
        <v>5</v>
      </c>
      <c r="F4" s="60" t="s">
        <v>6</v>
      </c>
    </row>
    <row r="5" spans="1:6" ht="16.5" x14ac:dyDescent="0.3">
      <c r="A5" s="26">
        <v>1</v>
      </c>
      <c r="B5" s="16" t="s">
        <v>7</v>
      </c>
      <c r="C5" s="17"/>
      <c r="D5" s="18"/>
      <c r="E5" s="19"/>
      <c r="F5" s="27"/>
    </row>
    <row r="6" spans="1:6" ht="16.5" x14ac:dyDescent="0.3">
      <c r="A6" s="28">
        <v>1.1000000000000001</v>
      </c>
      <c r="B6" s="20" t="s">
        <v>16</v>
      </c>
      <c r="C6" s="35" t="s">
        <v>21</v>
      </c>
      <c r="D6" s="52">
        <v>1201.5</v>
      </c>
      <c r="E6" s="21">
        <v>7320</v>
      </c>
      <c r="F6" s="29">
        <f>ROUND((D6*E6),2)</f>
        <v>8794980</v>
      </c>
    </row>
    <row r="7" spans="1:6" ht="49.5" x14ac:dyDescent="0.3">
      <c r="A7" s="28">
        <v>1.2</v>
      </c>
      <c r="B7" s="20" t="s">
        <v>17</v>
      </c>
      <c r="C7" s="35" t="s">
        <v>20</v>
      </c>
      <c r="D7" s="52">
        <v>160</v>
      </c>
      <c r="E7" s="21">
        <v>42940</v>
      </c>
      <c r="F7" s="29">
        <f t="shared" ref="F7:F30" si="0">ROUND((D7*E7),2)</f>
        <v>6870400</v>
      </c>
    </row>
    <row r="8" spans="1:6" ht="33" x14ac:dyDescent="0.3">
      <c r="A8" s="28">
        <v>1.3</v>
      </c>
      <c r="B8" s="20" t="s">
        <v>18</v>
      </c>
      <c r="C8" s="35" t="s">
        <v>21</v>
      </c>
      <c r="D8" s="52">
        <v>539.1</v>
      </c>
      <c r="E8" s="21">
        <v>34259</v>
      </c>
      <c r="F8" s="29">
        <f t="shared" si="0"/>
        <v>18469026.899999999</v>
      </c>
    </row>
    <row r="9" spans="1:6" ht="16.5" x14ac:dyDescent="0.3">
      <c r="A9" s="26">
        <v>2</v>
      </c>
      <c r="B9" s="16" t="s">
        <v>8</v>
      </c>
      <c r="C9" s="17"/>
      <c r="D9" s="18"/>
      <c r="E9" s="19"/>
      <c r="F9" s="30"/>
    </row>
    <row r="10" spans="1:6" ht="49.5" x14ac:dyDescent="0.3">
      <c r="A10" s="28">
        <v>2.1</v>
      </c>
      <c r="B10" s="44" t="s">
        <v>23</v>
      </c>
      <c r="C10" s="35" t="s">
        <v>21</v>
      </c>
      <c r="D10" s="52">
        <v>125</v>
      </c>
      <c r="E10" s="21">
        <v>35809</v>
      </c>
      <c r="F10" s="29">
        <f t="shared" si="0"/>
        <v>4476125</v>
      </c>
    </row>
    <row r="11" spans="1:6" ht="49.5" x14ac:dyDescent="0.3">
      <c r="A11" s="28">
        <v>2.2000000000000002</v>
      </c>
      <c r="B11" s="45" t="s">
        <v>1113</v>
      </c>
      <c r="C11" s="35" t="s">
        <v>21</v>
      </c>
      <c r="D11" s="53">
        <v>621</v>
      </c>
      <c r="E11" s="21">
        <v>34583</v>
      </c>
      <c r="F11" s="29">
        <f t="shared" si="0"/>
        <v>21476043</v>
      </c>
    </row>
    <row r="12" spans="1:6" ht="16.5" x14ac:dyDescent="0.3">
      <c r="A12" s="50">
        <v>3</v>
      </c>
      <c r="B12" s="16" t="s">
        <v>9</v>
      </c>
      <c r="C12" s="17"/>
      <c r="D12" s="18"/>
      <c r="E12" s="19"/>
      <c r="F12" s="30"/>
    </row>
    <row r="13" spans="1:6" ht="33" x14ac:dyDescent="0.3">
      <c r="A13" s="31">
        <v>3.1</v>
      </c>
      <c r="B13" s="44" t="s">
        <v>10</v>
      </c>
      <c r="C13" s="35" t="s">
        <v>21</v>
      </c>
      <c r="D13" s="52">
        <v>369.2</v>
      </c>
      <c r="E13" s="21">
        <v>49145</v>
      </c>
      <c r="F13" s="29">
        <f t="shared" si="0"/>
        <v>18144334</v>
      </c>
    </row>
    <row r="14" spans="1:6" ht="33" x14ac:dyDescent="0.3">
      <c r="A14" s="31">
        <v>3.2</v>
      </c>
      <c r="B14" s="20" t="s">
        <v>11</v>
      </c>
      <c r="C14" s="35" t="s">
        <v>21</v>
      </c>
      <c r="D14" s="52">
        <v>236</v>
      </c>
      <c r="E14" s="21">
        <v>54527</v>
      </c>
      <c r="F14" s="29">
        <f t="shared" si="0"/>
        <v>12868372</v>
      </c>
    </row>
    <row r="15" spans="1:6" ht="49.5" x14ac:dyDescent="0.3">
      <c r="A15" s="31">
        <v>3.3</v>
      </c>
      <c r="B15" s="20" t="s">
        <v>35</v>
      </c>
      <c r="C15" s="35" t="s">
        <v>21</v>
      </c>
      <c r="D15" s="52">
        <v>200</v>
      </c>
      <c r="E15" s="21">
        <v>38055</v>
      </c>
      <c r="F15" s="29">
        <f t="shared" si="0"/>
        <v>7611000</v>
      </c>
    </row>
    <row r="16" spans="1:6" ht="49.5" x14ac:dyDescent="0.3">
      <c r="A16" s="31">
        <v>3.4</v>
      </c>
      <c r="B16" s="44" t="s">
        <v>13</v>
      </c>
      <c r="C16" s="35" t="s">
        <v>21</v>
      </c>
      <c r="D16" s="52">
        <v>378</v>
      </c>
      <c r="E16" s="21">
        <v>19726</v>
      </c>
      <c r="F16" s="29">
        <f t="shared" si="0"/>
        <v>7456428</v>
      </c>
    </row>
    <row r="17" spans="1:6" ht="33" x14ac:dyDescent="0.3">
      <c r="A17" s="31">
        <v>3.5</v>
      </c>
      <c r="B17" s="44" t="s">
        <v>14</v>
      </c>
      <c r="C17" s="35" t="s">
        <v>21</v>
      </c>
      <c r="D17" s="52">
        <v>378</v>
      </c>
      <c r="E17" s="21">
        <v>70673</v>
      </c>
      <c r="F17" s="29">
        <f t="shared" si="0"/>
        <v>26714394</v>
      </c>
    </row>
    <row r="18" spans="1:6" ht="49.5" x14ac:dyDescent="0.3">
      <c r="A18" s="31">
        <v>3.6</v>
      </c>
      <c r="B18" s="44" t="s">
        <v>12</v>
      </c>
      <c r="C18" s="37" t="s">
        <v>20</v>
      </c>
      <c r="D18" s="52">
        <v>1080</v>
      </c>
      <c r="E18" s="21">
        <v>19379</v>
      </c>
      <c r="F18" s="29">
        <f t="shared" si="0"/>
        <v>20929320</v>
      </c>
    </row>
    <row r="19" spans="1:6" ht="49.5" x14ac:dyDescent="0.3">
      <c r="A19" s="31">
        <v>3.7</v>
      </c>
      <c r="B19" s="44" t="s">
        <v>19</v>
      </c>
      <c r="C19" s="35" t="s">
        <v>21</v>
      </c>
      <c r="D19" s="52">
        <v>50</v>
      </c>
      <c r="E19" s="21">
        <v>210206</v>
      </c>
      <c r="F19" s="29">
        <f t="shared" si="0"/>
        <v>10510300</v>
      </c>
    </row>
    <row r="20" spans="1:6" ht="66" x14ac:dyDescent="0.3">
      <c r="A20" s="31">
        <v>3.8</v>
      </c>
      <c r="B20" s="44" t="s">
        <v>1084</v>
      </c>
      <c r="C20" s="35" t="s">
        <v>21</v>
      </c>
      <c r="D20" s="52">
        <v>30</v>
      </c>
      <c r="E20" s="21">
        <v>114588</v>
      </c>
      <c r="F20" s="29">
        <f t="shared" ref="F20:F21" si="1">ROUND((D20*E20),2)</f>
        <v>3437640</v>
      </c>
    </row>
    <row r="21" spans="1:6" ht="82.5" x14ac:dyDescent="0.3">
      <c r="A21" s="31">
        <v>3.9</v>
      </c>
      <c r="B21" s="44" t="s">
        <v>15</v>
      </c>
      <c r="C21" s="35" t="s">
        <v>21</v>
      </c>
      <c r="D21" s="52">
        <v>65</v>
      </c>
      <c r="E21" s="21">
        <v>69687</v>
      </c>
      <c r="F21" s="29">
        <f t="shared" si="1"/>
        <v>4529655</v>
      </c>
    </row>
    <row r="22" spans="1:6" ht="33" x14ac:dyDescent="0.3">
      <c r="A22" s="390">
        <v>3.1</v>
      </c>
      <c r="B22" s="43" t="s">
        <v>37</v>
      </c>
      <c r="C22" s="35" t="s">
        <v>21</v>
      </c>
      <c r="D22" s="54">
        <v>145</v>
      </c>
      <c r="E22" s="21">
        <v>23976</v>
      </c>
      <c r="F22" s="29">
        <f t="shared" si="0"/>
        <v>3476520</v>
      </c>
    </row>
    <row r="23" spans="1:6" ht="49.5" x14ac:dyDescent="0.3">
      <c r="A23" s="61">
        <v>3.11</v>
      </c>
      <c r="B23" s="43" t="s">
        <v>38</v>
      </c>
      <c r="C23" s="35" t="s">
        <v>21</v>
      </c>
      <c r="D23" s="55">
        <v>145</v>
      </c>
      <c r="E23" s="21">
        <v>37041</v>
      </c>
      <c r="F23" s="29">
        <f t="shared" si="0"/>
        <v>5370945</v>
      </c>
    </row>
    <row r="24" spans="1:6" ht="16.5" x14ac:dyDescent="0.3">
      <c r="A24" s="51">
        <v>4</v>
      </c>
      <c r="B24" s="22" t="s">
        <v>24</v>
      </c>
      <c r="C24" s="40"/>
      <c r="D24" s="41"/>
      <c r="E24" s="23"/>
      <c r="F24" s="30"/>
    </row>
    <row r="25" spans="1:6" ht="33" x14ac:dyDescent="0.3">
      <c r="A25" s="32">
        <v>4.0999999999999996</v>
      </c>
      <c r="B25" s="43" t="s">
        <v>25</v>
      </c>
      <c r="C25" s="35" t="s">
        <v>21</v>
      </c>
      <c r="D25" s="54">
        <v>614</v>
      </c>
      <c r="E25" s="24">
        <v>36196</v>
      </c>
      <c r="F25" s="29">
        <f t="shared" si="0"/>
        <v>22224344</v>
      </c>
    </row>
    <row r="26" spans="1:6" ht="33" x14ac:dyDescent="0.3">
      <c r="A26" s="32">
        <v>4.2</v>
      </c>
      <c r="B26" s="43" t="s">
        <v>26</v>
      </c>
      <c r="C26" s="42" t="s">
        <v>21</v>
      </c>
      <c r="D26" s="54">
        <v>120</v>
      </c>
      <c r="E26" s="24">
        <v>40030</v>
      </c>
      <c r="F26" s="29">
        <f t="shared" si="0"/>
        <v>4803600</v>
      </c>
    </row>
    <row r="27" spans="1:6" ht="33" x14ac:dyDescent="0.3">
      <c r="A27" s="32">
        <v>4.3</v>
      </c>
      <c r="B27" s="43" t="s">
        <v>36</v>
      </c>
      <c r="C27" s="42" t="s">
        <v>21</v>
      </c>
      <c r="D27" s="54">
        <v>5</v>
      </c>
      <c r="E27" s="24">
        <v>588666</v>
      </c>
      <c r="F27" s="29">
        <f t="shared" si="0"/>
        <v>2943330</v>
      </c>
    </row>
    <row r="28" spans="1:6" ht="33" x14ac:dyDescent="0.3">
      <c r="A28" s="32">
        <v>4.4000000000000004</v>
      </c>
      <c r="B28" s="43" t="s">
        <v>33</v>
      </c>
      <c r="C28" s="42" t="s">
        <v>21</v>
      </c>
      <c r="D28" s="54">
        <v>228</v>
      </c>
      <c r="E28" s="24">
        <v>23345</v>
      </c>
      <c r="F28" s="29">
        <f t="shared" si="0"/>
        <v>5322660</v>
      </c>
    </row>
    <row r="29" spans="1:6" ht="16.5" x14ac:dyDescent="0.3">
      <c r="A29" s="50">
        <v>5</v>
      </c>
      <c r="B29" s="16" t="s">
        <v>34</v>
      </c>
      <c r="C29" s="17"/>
      <c r="D29" s="18"/>
      <c r="E29" s="19"/>
      <c r="F29" s="30"/>
    </row>
    <row r="30" spans="1:6" ht="16.5" x14ac:dyDescent="0.3">
      <c r="A30" s="33">
        <v>5.0999999999999996</v>
      </c>
      <c r="B30" s="20" t="s">
        <v>22</v>
      </c>
      <c r="C30" s="37" t="s">
        <v>39</v>
      </c>
      <c r="D30" s="36">
        <v>1</v>
      </c>
      <c r="E30" s="21">
        <v>4715469</v>
      </c>
      <c r="F30" s="29">
        <f t="shared" si="0"/>
        <v>4715469</v>
      </c>
    </row>
    <row r="31" spans="1:6" x14ac:dyDescent="0.25">
      <c r="A31" s="508" t="s">
        <v>30</v>
      </c>
      <c r="B31" s="509"/>
      <c r="C31" s="509"/>
      <c r="D31" s="509"/>
      <c r="E31" s="509"/>
      <c r="F31" s="46">
        <f>+SUM(F6:F30)</f>
        <v>221144885.90000001</v>
      </c>
    </row>
    <row r="32" spans="1:6" x14ac:dyDescent="0.25">
      <c r="A32" s="508" t="s">
        <v>27</v>
      </c>
      <c r="B32" s="509"/>
      <c r="C32" s="509"/>
      <c r="D32" s="509"/>
      <c r="E32" s="38">
        <v>0.12</v>
      </c>
      <c r="F32" s="47">
        <f>+E32*F31</f>
        <v>26537386.307999998</v>
      </c>
    </row>
    <row r="33" spans="1:9" x14ac:dyDescent="0.25">
      <c r="A33" s="508" t="s">
        <v>28</v>
      </c>
      <c r="B33" s="509"/>
      <c r="C33" s="509"/>
      <c r="D33" s="509"/>
      <c r="E33" s="39">
        <v>0.05</v>
      </c>
      <c r="F33" s="47">
        <f>+E33*F31</f>
        <v>11057244.295000002</v>
      </c>
    </row>
    <row r="34" spans="1:9" x14ac:dyDescent="0.25">
      <c r="A34" s="508" t="s">
        <v>29</v>
      </c>
      <c r="B34" s="509"/>
      <c r="C34" s="509"/>
      <c r="D34" s="509"/>
      <c r="E34" s="39">
        <v>0.05</v>
      </c>
      <c r="F34" s="47">
        <f>+E34*F31</f>
        <v>11057244.295000002</v>
      </c>
    </row>
    <row r="35" spans="1:9" x14ac:dyDescent="0.25">
      <c r="A35" s="512" t="s">
        <v>32</v>
      </c>
      <c r="B35" s="513"/>
      <c r="C35" s="513"/>
      <c r="D35" s="513"/>
      <c r="E35" s="392">
        <v>0.19</v>
      </c>
      <c r="F35" s="391">
        <f>+E35*F34</f>
        <v>2100876.4160500006</v>
      </c>
    </row>
    <row r="36" spans="1:9" x14ac:dyDescent="0.25">
      <c r="A36" s="359"/>
      <c r="B36" s="361" t="s">
        <v>1095</v>
      </c>
      <c r="C36" s="360"/>
      <c r="D36" s="360"/>
      <c r="E36" s="393"/>
      <c r="F36" s="48">
        <f>F31+F35</f>
        <v>223245762.31604999</v>
      </c>
    </row>
    <row r="37" spans="1:9" ht="15.75" thickBot="1" x14ac:dyDescent="0.3">
      <c r="A37" s="510" t="s">
        <v>31</v>
      </c>
      <c r="B37" s="511"/>
      <c r="C37" s="511"/>
      <c r="D37" s="511"/>
      <c r="E37" s="511"/>
      <c r="F37" s="49">
        <f>+ROUND(SUM(F31:F35),2)</f>
        <v>271897637.20999998</v>
      </c>
    </row>
    <row r="38" spans="1:9" ht="15" customHeight="1" thickBot="1" x14ac:dyDescent="0.3">
      <c r="A38" s="25"/>
      <c r="B38" s="25"/>
      <c r="C38" s="25"/>
      <c r="D38" s="25"/>
      <c r="E38" s="25"/>
      <c r="F38" s="25"/>
    </row>
    <row r="39" spans="1:9" x14ac:dyDescent="0.25">
      <c r="A39" s="362"/>
      <c r="B39" s="375"/>
      <c r="C39" s="375"/>
      <c r="D39" s="375"/>
      <c r="E39" s="375"/>
      <c r="F39" s="376"/>
      <c r="G39" s="377"/>
      <c r="H39" s="377"/>
      <c r="I39" s="377"/>
    </row>
    <row r="40" spans="1:9" ht="42" customHeight="1" x14ac:dyDescent="0.25">
      <c r="A40" s="491" t="s">
        <v>1096</v>
      </c>
      <c r="B40" s="492"/>
      <c r="C40" s="499" t="s">
        <v>44</v>
      </c>
      <c r="D40" s="500"/>
      <c r="E40" s="501"/>
      <c r="F40" s="388" t="s">
        <v>1097</v>
      </c>
      <c r="G40" s="378"/>
      <c r="H40" s="378"/>
      <c r="I40" s="379"/>
    </row>
    <row r="41" spans="1:9" ht="95.45" customHeight="1" x14ac:dyDescent="0.25">
      <c r="A41" s="491" t="s">
        <v>1098</v>
      </c>
      <c r="B41" s="492"/>
      <c r="C41" s="496" t="s">
        <v>1099</v>
      </c>
      <c r="D41" s="496"/>
      <c r="E41" s="363" t="s">
        <v>1100</v>
      </c>
      <c r="F41" s="384">
        <v>0.12</v>
      </c>
      <c r="G41" s="380"/>
      <c r="H41" s="379"/>
      <c r="I41" s="381"/>
    </row>
    <row r="42" spans="1:9" ht="44.45" customHeight="1" x14ac:dyDescent="0.25">
      <c r="A42" s="493" t="s">
        <v>1101</v>
      </c>
      <c r="B42" s="494"/>
      <c r="C42" s="497" t="s">
        <v>1102</v>
      </c>
      <c r="D42" s="498"/>
      <c r="E42" s="363" t="s">
        <v>1103</v>
      </c>
      <c r="F42" s="385" t="s">
        <v>1112</v>
      </c>
      <c r="G42" s="382"/>
      <c r="H42" s="379"/>
      <c r="I42" s="381"/>
    </row>
    <row r="43" spans="1:9" ht="30.6" customHeight="1" x14ac:dyDescent="0.25">
      <c r="A43" s="368"/>
      <c r="B43" s="369"/>
      <c r="C43" s="495" t="s">
        <v>1104</v>
      </c>
      <c r="D43" s="496"/>
      <c r="E43" s="363" t="s">
        <v>1105</v>
      </c>
      <c r="F43" s="386" t="s">
        <v>1112</v>
      </c>
      <c r="G43" s="380"/>
      <c r="H43" s="379"/>
      <c r="I43" s="381"/>
    </row>
    <row r="44" spans="1:9" ht="25.15" customHeight="1" x14ac:dyDescent="0.25">
      <c r="A44" s="370"/>
      <c r="B44" s="371"/>
      <c r="C44" s="496" t="s">
        <v>1106</v>
      </c>
      <c r="D44" s="496"/>
      <c r="E44" s="363" t="s">
        <v>1107</v>
      </c>
      <c r="F44" s="384">
        <v>0.22</v>
      </c>
      <c r="G44" s="380"/>
      <c r="H44" s="379"/>
      <c r="I44" s="381"/>
    </row>
    <row r="45" spans="1:9" ht="15.75" thickBot="1" x14ac:dyDescent="0.3">
      <c r="A45" s="372"/>
      <c r="B45" s="373"/>
      <c r="C45" s="373"/>
      <c r="D45" s="373"/>
      <c r="E45" s="374"/>
      <c r="F45" s="387"/>
      <c r="G45" s="383"/>
      <c r="H45" s="383"/>
      <c r="I45" s="383"/>
    </row>
  </sheetData>
  <mergeCells count="17">
    <mergeCell ref="A1:F1"/>
    <mergeCell ref="A2:F2"/>
    <mergeCell ref="A31:E31"/>
    <mergeCell ref="A37:E37"/>
    <mergeCell ref="A35:D35"/>
    <mergeCell ref="A32:D32"/>
    <mergeCell ref="A33:D33"/>
    <mergeCell ref="A34:D34"/>
    <mergeCell ref="B3:F3"/>
    <mergeCell ref="A40:B40"/>
    <mergeCell ref="A41:B41"/>
    <mergeCell ref="A42:B42"/>
    <mergeCell ref="C43:D43"/>
    <mergeCell ref="C44:D44"/>
    <mergeCell ref="C41:D41"/>
    <mergeCell ref="C42:D42"/>
    <mergeCell ref="C40:E4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9F523-5D8F-460E-8C40-A4E5BF1F421E}">
  <sheetPr codeName="Hoja9">
    <tabColor rgb="FF00B050"/>
  </sheetPr>
  <dimension ref="A1:O1007"/>
  <sheetViews>
    <sheetView view="pageBreakPreview" topLeftCell="A981" zoomScale="70" zoomScaleNormal="70" zoomScaleSheetLayoutView="70" workbookViewId="0">
      <selection activeCell="D971" sqref="D971"/>
    </sheetView>
  </sheetViews>
  <sheetFormatPr baseColWidth="10" defaultColWidth="9.28515625" defaultRowHeight="13.5" x14ac:dyDescent="0.25"/>
  <cols>
    <col min="1" max="1" width="5.7109375" style="95" customWidth="1"/>
    <col min="2" max="10" width="18.7109375" style="95" customWidth="1"/>
    <col min="11" max="11" width="5" style="95" customWidth="1"/>
    <col min="12" max="16384" width="9.28515625" style="95"/>
  </cols>
  <sheetData>
    <row r="1" spans="1:14" ht="14.25" thickBot="1" x14ac:dyDescent="0.3"/>
    <row r="2" spans="1:14" ht="45" customHeight="1" x14ac:dyDescent="0.25">
      <c r="A2" s="215"/>
      <c r="B2" s="458"/>
      <c r="C2" s="459"/>
      <c r="D2" s="461" t="s">
        <v>1052</v>
      </c>
      <c r="E2" s="462"/>
      <c r="F2" s="462"/>
      <c r="G2" s="462"/>
      <c r="H2" s="463"/>
      <c r="I2" s="464"/>
      <c r="J2" s="465"/>
      <c r="K2" s="216"/>
      <c r="L2" s="216"/>
      <c r="M2" s="216"/>
      <c r="N2" s="216"/>
    </row>
    <row r="3" spans="1:14" ht="45" customHeight="1" thickBot="1" x14ac:dyDescent="0.3">
      <c r="A3" s="217"/>
      <c r="B3" s="460"/>
      <c r="C3" s="422"/>
      <c r="D3" s="426"/>
      <c r="E3" s="427"/>
      <c r="F3" s="427"/>
      <c r="G3" s="427"/>
      <c r="H3" s="428"/>
      <c r="I3" s="431"/>
      <c r="J3" s="466"/>
      <c r="K3" s="216"/>
      <c r="L3" s="216"/>
      <c r="M3" s="216"/>
      <c r="N3" s="216"/>
    </row>
    <row r="4" spans="1:14" ht="10.5" customHeight="1" thickBot="1" x14ac:dyDescent="0.3">
      <c r="A4" s="217"/>
      <c r="B4" s="218"/>
      <c r="C4" s="219"/>
      <c r="D4" s="219"/>
      <c r="E4" s="219"/>
      <c r="F4" s="219"/>
      <c r="G4" s="219"/>
      <c r="H4" s="219"/>
      <c r="I4" s="219"/>
      <c r="J4" s="220"/>
      <c r="K4" s="216"/>
      <c r="L4" s="216"/>
      <c r="M4" s="216"/>
      <c r="N4" s="216"/>
    </row>
    <row r="5" spans="1:14" ht="21" customHeight="1" thickBot="1" x14ac:dyDescent="0.3">
      <c r="A5" s="221"/>
      <c r="B5" s="433" t="s">
        <v>1053</v>
      </c>
      <c r="C5" s="434"/>
      <c r="D5" s="222"/>
      <c r="E5" s="223" t="s">
        <v>171</v>
      </c>
      <c r="F5" s="222">
        <v>30</v>
      </c>
      <c r="G5" s="222" t="s">
        <v>462</v>
      </c>
      <c r="H5" s="223">
        <v>4</v>
      </c>
      <c r="I5" s="224" t="s">
        <v>1054</v>
      </c>
      <c r="J5" s="225">
        <v>2026</v>
      </c>
      <c r="K5" s="216"/>
      <c r="L5" s="216"/>
      <c r="M5" s="216"/>
      <c r="N5" s="216"/>
    </row>
    <row r="6" spans="1:14" ht="11.25" customHeight="1" thickBot="1" x14ac:dyDescent="0.3">
      <c r="A6" s="226"/>
      <c r="B6" s="227"/>
      <c r="C6" s="228"/>
      <c r="D6" s="228"/>
      <c r="E6" s="228"/>
      <c r="F6" s="228"/>
      <c r="G6" s="228"/>
      <c r="H6" s="228"/>
      <c r="I6" s="228"/>
      <c r="J6" s="229"/>
      <c r="K6" s="216"/>
      <c r="L6" s="216"/>
      <c r="M6" s="216"/>
      <c r="N6" s="216"/>
    </row>
    <row r="7" spans="1:14" ht="87" customHeight="1" x14ac:dyDescent="0.25">
      <c r="A7" s="215"/>
      <c r="B7" s="451" t="s">
        <v>1055</v>
      </c>
      <c r="C7" s="436"/>
      <c r="D7" s="441" t="s">
        <v>1110</v>
      </c>
      <c r="E7" s="442"/>
      <c r="F7" s="442"/>
      <c r="G7" s="442"/>
      <c r="H7" s="442"/>
      <c r="I7" s="442"/>
      <c r="J7" s="454"/>
      <c r="K7" s="216"/>
      <c r="L7" s="216"/>
      <c r="M7" s="216"/>
      <c r="N7" s="216"/>
    </row>
    <row r="8" spans="1:14" ht="22.5" customHeight="1" x14ac:dyDescent="0.25">
      <c r="A8" s="215"/>
      <c r="B8" s="452"/>
      <c r="C8" s="438"/>
      <c r="D8" s="444"/>
      <c r="E8" s="445"/>
      <c r="F8" s="445"/>
      <c r="G8" s="445"/>
      <c r="H8" s="445"/>
      <c r="I8" s="445"/>
      <c r="J8" s="455"/>
      <c r="K8" s="216"/>
      <c r="L8" s="216"/>
      <c r="M8" s="216"/>
      <c r="N8" s="216"/>
    </row>
    <row r="9" spans="1:14" ht="22.5" customHeight="1" thickBot="1" x14ac:dyDescent="0.3">
      <c r="A9" s="215"/>
      <c r="B9" s="453"/>
      <c r="C9" s="440"/>
      <c r="D9" s="447"/>
      <c r="E9" s="448"/>
      <c r="F9" s="448"/>
      <c r="G9" s="448"/>
      <c r="H9" s="448"/>
      <c r="I9" s="448"/>
      <c r="J9" s="456"/>
      <c r="K9" s="216"/>
      <c r="L9" s="216"/>
      <c r="M9" s="216"/>
      <c r="N9" s="216"/>
    </row>
    <row r="10" spans="1:14" ht="11.25" customHeight="1" thickBot="1" x14ac:dyDescent="0.3">
      <c r="A10" s="215"/>
      <c r="B10" s="433"/>
      <c r="C10" s="405"/>
      <c r="D10" s="405"/>
      <c r="E10" s="405"/>
      <c r="F10" s="405"/>
      <c r="G10" s="405"/>
      <c r="H10" s="405"/>
      <c r="I10" s="405"/>
      <c r="J10" s="457"/>
      <c r="K10" s="216"/>
      <c r="L10" s="216"/>
      <c r="M10" s="216"/>
      <c r="N10" s="216"/>
    </row>
    <row r="11" spans="1:14" ht="90" customHeight="1" thickBot="1" x14ac:dyDescent="0.3">
      <c r="A11" s="230"/>
      <c r="B11" s="231" t="s">
        <v>1056</v>
      </c>
      <c r="C11" s="232">
        <v>1.1000000000000001</v>
      </c>
      <c r="D11" s="473" t="str">
        <f>'ppto oficial '!B6</f>
        <v>Localizacion y replanteo</v>
      </c>
      <c r="E11" s="474"/>
      <c r="F11" s="474"/>
      <c r="G11" s="474"/>
      <c r="H11" s="475"/>
      <c r="I11" s="232" t="s">
        <v>1057</v>
      </c>
      <c r="J11" s="389" t="str">
        <f>'ppto oficial '!C6</f>
        <v>m2</v>
      </c>
      <c r="K11" s="216"/>
      <c r="L11" s="216"/>
      <c r="M11" s="216"/>
      <c r="N11" s="232"/>
    </row>
    <row r="12" spans="1:14" ht="12.75" customHeight="1" thickBot="1" x14ac:dyDescent="0.3">
      <c r="A12" s="234"/>
      <c r="B12" s="227"/>
      <c r="C12" s="228"/>
      <c r="D12" s="228"/>
      <c r="E12" s="228"/>
      <c r="F12" s="228"/>
      <c r="G12" s="228"/>
      <c r="H12" s="235"/>
      <c r="I12" s="236"/>
      <c r="J12" s="237"/>
      <c r="K12" s="216"/>
      <c r="L12" s="216"/>
      <c r="M12" s="216"/>
      <c r="N12" s="216"/>
    </row>
    <row r="13" spans="1:14" ht="12.75" customHeight="1" thickBot="1" x14ac:dyDescent="0.3">
      <c r="A13" s="234"/>
      <c r="B13" s="238" t="s">
        <v>1058</v>
      </c>
      <c r="C13" s="239"/>
      <c r="D13" s="228"/>
      <c r="E13" s="228"/>
      <c r="F13" s="228"/>
      <c r="G13" s="228"/>
      <c r="H13" s="235"/>
      <c r="I13" s="236"/>
      <c r="J13" s="240"/>
      <c r="K13" s="216"/>
      <c r="L13" s="216"/>
      <c r="M13" s="216"/>
      <c r="N13" s="216"/>
    </row>
    <row r="14" spans="1:14" ht="23.25" customHeight="1" thickBot="1" x14ac:dyDescent="0.3">
      <c r="A14" s="234"/>
      <c r="B14" s="241" t="s">
        <v>43</v>
      </c>
      <c r="C14" s="482" t="s">
        <v>2</v>
      </c>
      <c r="D14" s="411"/>
      <c r="E14" s="483"/>
      <c r="F14" s="242"/>
      <c r="G14" s="243" t="s">
        <v>105</v>
      </c>
      <c r="H14" s="243" t="s">
        <v>106</v>
      </c>
      <c r="I14" s="243" t="s">
        <v>1059</v>
      </c>
      <c r="J14" s="244" t="s">
        <v>1060</v>
      </c>
      <c r="K14" s="216"/>
      <c r="L14" s="216"/>
      <c r="M14" s="216"/>
      <c r="N14" s="216"/>
    </row>
    <row r="15" spans="1:14" ht="34.9" customHeight="1" x14ac:dyDescent="0.25">
      <c r="A15" s="230"/>
      <c r="B15" s="245" t="s">
        <v>236</v>
      </c>
      <c r="C15" s="484" t="s">
        <v>1108</v>
      </c>
      <c r="D15" s="485"/>
      <c r="E15" s="485"/>
      <c r="F15" s="486"/>
      <c r="G15" s="246" t="s">
        <v>171</v>
      </c>
      <c r="H15" s="247">
        <v>107100</v>
      </c>
      <c r="I15" s="248">
        <v>1.4999999999999999E-2</v>
      </c>
      <c r="J15" s="249">
        <f>H15*I15</f>
        <v>1606.5</v>
      </c>
      <c r="K15" s="216"/>
      <c r="L15" s="216"/>
      <c r="M15" s="216"/>
      <c r="N15" s="216"/>
    </row>
    <row r="16" spans="1:14" ht="23.25" customHeight="1" x14ac:dyDescent="0.25">
      <c r="A16" s="230"/>
      <c r="B16" s="250" t="s">
        <v>121</v>
      </c>
      <c r="C16" s="487" t="s">
        <v>122</v>
      </c>
      <c r="D16" s="417"/>
      <c r="E16" s="417"/>
      <c r="F16" s="418"/>
      <c r="G16" s="251" t="s">
        <v>1073</v>
      </c>
      <c r="H16" s="252">
        <v>75651.33</v>
      </c>
      <c r="I16" s="253">
        <v>0.03</v>
      </c>
      <c r="J16" s="254">
        <f>H16*I16</f>
        <v>2269.5398999999998</v>
      </c>
      <c r="K16" s="216"/>
      <c r="L16" s="216"/>
      <c r="M16" s="216"/>
      <c r="N16" s="216"/>
    </row>
    <row r="17" spans="1:12" ht="23.25" customHeight="1" x14ac:dyDescent="0.25">
      <c r="A17" s="216"/>
      <c r="B17" s="250"/>
      <c r="C17" s="488"/>
      <c r="D17" s="489"/>
      <c r="E17" s="489"/>
      <c r="F17" s="490"/>
      <c r="G17" s="255"/>
      <c r="H17" s="256"/>
      <c r="I17" s="253"/>
      <c r="J17" s="254"/>
      <c r="K17" s="216"/>
      <c r="L17" s="216"/>
    </row>
    <row r="18" spans="1:12" ht="23.25" customHeight="1" x14ac:dyDescent="0.25">
      <c r="A18" s="216"/>
      <c r="B18" s="257"/>
      <c r="C18" s="398"/>
      <c r="D18" s="399"/>
      <c r="E18" s="399"/>
      <c r="F18" s="400"/>
      <c r="G18" s="258"/>
      <c r="H18" s="259"/>
      <c r="I18" s="260"/>
      <c r="J18" s="261"/>
      <c r="K18" s="216"/>
      <c r="L18" s="216"/>
    </row>
    <row r="19" spans="1:12" ht="23.25" customHeight="1" x14ac:dyDescent="0.25">
      <c r="A19" s="216"/>
      <c r="B19" s="262"/>
      <c r="C19" s="11"/>
      <c r="D19" s="10"/>
      <c r="E19" s="10"/>
      <c r="F19" s="9"/>
      <c r="G19" s="263"/>
      <c r="H19" s="264"/>
      <c r="I19" s="265"/>
      <c r="J19" s="261"/>
      <c r="K19" s="216"/>
      <c r="L19" s="216"/>
    </row>
    <row r="20" spans="1:12" ht="23.25" customHeight="1" thickBot="1" x14ac:dyDescent="0.3">
      <c r="A20" s="216"/>
      <c r="B20" s="266"/>
      <c r="C20" s="228"/>
      <c r="D20" s="267"/>
      <c r="E20" s="267"/>
      <c r="F20" s="267"/>
      <c r="G20" s="268"/>
      <c r="H20" s="269"/>
      <c r="I20" s="270" t="s">
        <v>1061</v>
      </c>
      <c r="J20" s="271">
        <f>ROUND((SUM(J15:J19)),2)</f>
        <v>3876.04</v>
      </c>
      <c r="K20" s="216"/>
      <c r="L20" s="216"/>
    </row>
    <row r="21" spans="1:12" ht="23.25" customHeight="1" thickBot="1" x14ac:dyDescent="0.3">
      <c r="A21" s="216"/>
      <c r="B21" s="272" t="s">
        <v>1062</v>
      </c>
      <c r="C21" s="273"/>
      <c r="D21" s="274"/>
      <c r="E21" s="274"/>
      <c r="F21" s="274"/>
      <c r="G21" s="274"/>
      <c r="H21" s="275"/>
      <c r="I21" s="276"/>
      <c r="J21" s="277"/>
      <c r="K21" s="216"/>
      <c r="L21" s="216"/>
    </row>
    <row r="22" spans="1:12" ht="23.25" customHeight="1" thickBot="1" x14ac:dyDescent="0.3">
      <c r="A22" s="216"/>
      <c r="B22" s="278" t="s">
        <v>43</v>
      </c>
      <c r="C22" s="401" t="s">
        <v>44</v>
      </c>
      <c r="D22" s="402"/>
      <c r="E22" s="403"/>
      <c r="F22" s="279"/>
      <c r="G22" s="280" t="s">
        <v>45</v>
      </c>
      <c r="H22" s="280" t="s">
        <v>109</v>
      </c>
      <c r="I22" s="280" t="s">
        <v>4</v>
      </c>
      <c r="J22" s="281" t="s">
        <v>1060</v>
      </c>
      <c r="K22" s="216"/>
      <c r="L22" s="216"/>
    </row>
    <row r="23" spans="1:12" ht="22.5" customHeight="1" x14ac:dyDescent="0.25">
      <c r="A23" s="216"/>
      <c r="B23" s="282"/>
      <c r="C23" s="5" t="s">
        <v>1063</v>
      </c>
      <c r="D23" s="4"/>
      <c r="E23" s="4"/>
      <c r="F23" s="3"/>
      <c r="G23" s="258" t="s">
        <v>1064</v>
      </c>
      <c r="H23" s="259">
        <v>3000</v>
      </c>
      <c r="I23" s="260">
        <v>0.5</v>
      </c>
      <c r="J23" s="283">
        <f>+I23*H23</f>
        <v>1500</v>
      </c>
      <c r="K23" s="216"/>
      <c r="L23" s="216"/>
    </row>
    <row r="24" spans="1:12" ht="23.25" customHeight="1" x14ac:dyDescent="0.25">
      <c r="A24" s="216"/>
      <c r="B24" s="284"/>
      <c r="C24" s="11" t="s">
        <v>1065</v>
      </c>
      <c r="D24" s="10"/>
      <c r="E24" s="10"/>
      <c r="F24" s="9"/>
      <c r="G24" s="263" t="s">
        <v>20</v>
      </c>
      <c r="H24" s="264">
        <v>250</v>
      </c>
      <c r="I24" s="265">
        <v>1</v>
      </c>
      <c r="J24" s="283">
        <f>+I24*H24</f>
        <v>250</v>
      </c>
      <c r="K24" s="216"/>
      <c r="L24" s="216"/>
    </row>
    <row r="25" spans="1:12" ht="23.25" customHeight="1" x14ac:dyDescent="0.25">
      <c r="A25" s="216"/>
      <c r="B25" s="284"/>
      <c r="C25" s="11" t="s">
        <v>1066</v>
      </c>
      <c r="D25" s="10"/>
      <c r="E25" s="10"/>
      <c r="F25" s="9"/>
      <c r="G25" s="263" t="s">
        <v>1067</v>
      </c>
      <c r="H25" s="264">
        <v>2000</v>
      </c>
      <c r="I25" s="265">
        <v>0.2</v>
      </c>
      <c r="J25" s="285">
        <f>+I25*H25</f>
        <v>400</v>
      </c>
      <c r="K25" s="216"/>
      <c r="L25" s="216"/>
    </row>
    <row r="26" spans="1:12" ht="23.25" customHeight="1" x14ac:dyDescent="0.25">
      <c r="A26" s="216"/>
      <c r="B26" s="284"/>
      <c r="C26" s="11"/>
      <c r="D26" s="10"/>
      <c r="E26" s="10"/>
      <c r="F26" s="9"/>
      <c r="G26" s="263"/>
      <c r="H26" s="264"/>
      <c r="I26" s="265"/>
      <c r="J26" s="285">
        <f>+I26*H26</f>
        <v>0</v>
      </c>
      <c r="K26" s="216"/>
      <c r="L26" s="216"/>
    </row>
    <row r="27" spans="1:12" ht="23.25" customHeight="1" x14ac:dyDescent="0.25">
      <c r="A27" s="216"/>
      <c r="B27" s="284"/>
      <c r="C27" s="11"/>
      <c r="D27" s="10"/>
      <c r="E27" s="10"/>
      <c r="F27" s="9"/>
      <c r="G27" s="263"/>
      <c r="H27" s="264"/>
      <c r="I27" s="265"/>
      <c r="J27" s="285"/>
      <c r="K27" s="216"/>
      <c r="L27" s="216"/>
    </row>
    <row r="28" spans="1:12" ht="23.25" customHeight="1" thickBot="1" x14ac:dyDescent="0.3">
      <c r="A28" s="216"/>
      <c r="B28" s="227"/>
      <c r="C28" s="228"/>
      <c r="D28" s="228"/>
      <c r="E28" s="228"/>
      <c r="F28" s="228"/>
      <c r="G28" s="286"/>
      <c r="H28" s="287"/>
      <c r="I28" s="270" t="s">
        <v>1061</v>
      </c>
      <c r="J28" s="288">
        <f>ROUND((SUM(J23:J27)),2)</f>
        <v>2150</v>
      </c>
      <c r="K28" s="216"/>
      <c r="L28" s="216"/>
    </row>
    <row r="29" spans="1:12" ht="23.25" customHeight="1" thickBot="1" x14ac:dyDescent="0.3">
      <c r="A29" s="216"/>
      <c r="B29" s="289" t="s">
        <v>1068</v>
      </c>
      <c r="C29" s="290"/>
      <c r="D29" s="228"/>
      <c r="E29" s="228"/>
      <c r="F29" s="228"/>
      <c r="G29" s="228"/>
      <c r="H29" s="235"/>
      <c r="I29" s="291"/>
      <c r="J29" s="240"/>
      <c r="K29" s="216"/>
      <c r="L29" s="216"/>
    </row>
    <row r="30" spans="1:12" ht="23.25" customHeight="1" thickBot="1" x14ac:dyDescent="0.3">
      <c r="A30" s="216"/>
      <c r="B30" s="292" t="s">
        <v>43</v>
      </c>
      <c r="C30" s="8" t="s">
        <v>44</v>
      </c>
      <c r="D30" s="7"/>
      <c r="E30" s="6"/>
      <c r="F30" s="293"/>
      <c r="G30" s="294" t="s">
        <v>45</v>
      </c>
      <c r="H30" s="294" t="s">
        <v>108</v>
      </c>
      <c r="I30" s="294" t="s">
        <v>1069</v>
      </c>
      <c r="J30" s="295" t="s">
        <v>1060</v>
      </c>
      <c r="K30" s="216"/>
      <c r="L30" s="216"/>
    </row>
    <row r="31" spans="1:12" ht="23.25" customHeight="1" x14ac:dyDescent="0.25">
      <c r="A31" s="216"/>
      <c r="B31" s="282"/>
      <c r="C31" s="5"/>
      <c r="D31" s="4"/>
      <c r="E31" s="4"/>
      <c r="F31" s="3"/>
      <c r="G31" s="258"/>
      <c r="H31" s="296"/>
      <c r="I31" s="260"/>
      <c r="J31" s="297"/>
      <c r="K31" s="216"/>
      <c r="L31" s="216"/>
    </row>
    <row r="32" spans="1:12" ht="23.25" customHeight="1" x14ac:dyDescent="0.25">
      <c r="A32" s="216"/>
      <c r="B32" s="282"/>
      <c r="C32" s="11"/>
      <c r="D32" s="10"/>
      <c r="E32" s="10"/>
      <c r="F32" s="9"/>
      <c r="G32" s="258"/>
      <c r="H32" s="259"/>
      <c r="I32" s="260"/>
      <c r="J32" s="283">
        <f>+G32*I32</f>
        <v>0</v>
      </c>
      <c r="K32" s="216"/>
      <c r="L32" s="216"/>
    </row>
    <row r="33" spans="1:12" ht="23.25" customHeight="1" x14ac:dyDescent="0.25">
      <c r="A33" s="216"/>
      <c r="B33" s="282"/>
      <c r="C33" s="11"/>
      <c r="D33" s="10"/>
      <c r="E33" s="10"/>
      <c r="F33" s="9"/>
      <c r="G33" s="258"/>
      <c r="H33" s="259"/>
      <c r="I33" s="260"/>
      <c r="J33" s="283">
        <f>+G33*I33</f>
        <v>0</v>
      </c>
      <c r="K33" s="216"/>
      <c r="L33" s="216"/>
    </row>
    <row r="34" spans="1:12" ht="23.25" customHeight="1" x14ac:dyDescent="0.25">
      <c r="A34" s="216"/>
      <c r="B34" s="282"/>
      <c r="C34" s="11"/>
      <c r="D34" s="10"/>
      <c r="E34" s="10"/>
      <c r="F34" s="9"/>
      <c r="G34" s="258"/>
      <c r="H34" s="259"/>
      <c r="I34" s="260"/>
      <c r="J34" s="283">
        <f>+G34*I34</f>
        <v>0</v>
      </c>
      <c r="K34" s="216"/>
      <c r="L34" s="216"/>
    </row>
    <row r="35" spans="1:12" ht="23.25" customHeight="1" x14ac:dyDescent="0.25">
      <c r="A35" s="216"/>
      <c r="B35" s="284"/>
      <c r="C35" s="11"/>
      <c r="D35" s="10"/>
      <c r="E35" s="10"/>
      <c r="F35" s="9"/>
      <c r="G35" s="263"/>
      <c r="H35" s="264"/>
      <c r="I35" s="265"/>
      <c r="J35" s="285">
        <f>+G35*I35</f>
        <v>0</v>
      </c>
      <c r="K35" s="216"/>
      <c r="L35" s="216"/>
    </row>
    <row r="36" spans="1:12" ht="23.25" customHeight="1" thickBot="1" x14ac:dyDescent="0.3">
      <c r="A36" s="216"/>
      <c r="B36" s="227"/>
      <c r="C36" s="228"/>
      <c r="D36" s="228"/>
      <c r="E36" s="228"/>
      <c r="F36" s="228"/>
      <c r="G36" s="228"/>
      <c r="H36" s="235"/>
      <c r="I36" s="298" t="s">
        <v>1061</v>
      </c>
      <c r="J36" s="288">
        <f>ROUND((SUM(J31:J35)),2)</f>
        <v>0</v>
      </c>
      <c r="K36" s="216"/>
      <c r="L36" s="216"/>
    </row>
    <row r="37" spans="1:12" ht="23.25" customHeight="1" thickBot="1" x14ac:dyDescent="0.3">
      <c r="A37" s="216"/>
      <c r="B37" s="289" t="s">
        <v>1070</v>
      </c>
      <c r="C37" s="290"/>
      <c r="D37" s="228"/>
      <c r="E37" s="228"/>
      <c r="F37" s="228"/>
      <c r="G37" s="228"/>
      <c r="H37" s="235"/>
      <c r="I37" s="291"/>
      <c r="J37" s="240"/>
      <c r="K37" s="216"/>
      <c r="L37" s="216"/>
    </row>
    <row r="38" spans="1:12" ht="23.25" customHeight="1" thickBot="1" x14ac:dyDescent="0.3">
      <c r="A38" s="216"/>
      <c r="B38" s="292" t="s">
        <v>43</v>
      </c>
      <c r="C38" s="8" t="s">
        <v>44</v>
      </c>
      <c r="D38" s="7"/>
      <c r="E38" s="6"/>
      <c r="F38" s="293"/>
      <c r="G38" s="294" t="s">
        <v>45</v>
      </c>
      <c r="H38" s="294" t="s">
        <v>109</v>
      </c>
      <c r="I38" s="294" t="s">
        <v>1059</v>
      </c>
      <c r="J38" s="295" t="s">
        <v>1060</v>
      </c>
      <c r="K38" s="216"/>
      <c r="L38" s="216"/>
    </row>
    <row r="39" spans="1:12" ht="23.25" customHeight="1" x14ac:dyDescent="0.25">
      <c r="A39" s="216"/>
      <c r="B39" s="282" t="s">
        <v>80</v>
      </c>
      <c r="C39" s="5" t="str">
        <f>VLOOKUP(B39,CUADRILLAS!$B$4:$G$19,2,)</f>
        <v>CUADRILLA IV (Técnico + 2 ayudante)</v>
      </c>
      <c r="D39" s="4"/>
      <c r="E39" s="4"/>
      <c r="F39" s="3"/>
      <c r="G39" s="259" t="str">
        <f>VLOOKUP(B39,CUADRILLAS!$B$4:$G$19,5,FALSE)</f>
        <v>H</v>
      </c>
      <c r="H39" s="296">
        <f>VLOOKUP(B39,CUADRILLAS!$B$4:$G$19,6,FALSE)</f>
        <v>91122.026985000004</v>
      </c>
      <c r="I39" s="365">
        <v>1.420032923179021E-2</v>
      </c>
      <c r="J39" s="297">
        <f>H39*I39</f>
        <v>1293.9627834550718</v>
      </c>
      <c r="K39" s="216"/>
      <c r="L39" s="216"/>
    </row>
    <row r="40" spans="1:12" ht="23.25" customHeight="1" x14ac:dyDescent="0.25">
      <c r="A40" s="216"/>
      <c r="B40" s="284"/>
      <c r="C40" s="2"/>
      <c r="D40" s="1"/>
      <c r="E40" s="1"/>
      <c r="F40" s="15"/>
      <c r="G40" s="263"/>
      <c r="H40" s="264"/>
      <c r="I40" s="265"/>
      <c r="J40" s="285"/>
      <c r="K40" s="216"/>
      <c r="L40" s="216"/>
    </row>
    <row r="41" spans="1:12" ht="23.25" customHeight="1" x14ac:dyDescent="0.25">
      <c r="A41" s="216"/>
      <c r="B41" s="284"/>
      <c r="C41" s="299"/>
      <c r="D41" s="300"/>
      <c r="E41" s="300"/>
      <c r="F41" s="301"/>
      <c r="G41" s="263"/>
      <c r="H41" s="264"/>
      <c r="I41" s="265"/>
      <c r="J41" s="285"/>
      <c r="K41" s="216"/>
      <c r="L41" s="216"/>
    </row>
    <row r="42" spans="1:12" ht="23.25" customHeight="1" x14ac:dyDescent="0.25">
      <c r="A42" s="216"/>
      <c r="B42" s="284"/>
      <c r="C42" s="299"/>
      <c r="D42" s="300"/>
      <c r="E42" s="300"/>
      <c r="F42" s="301"/>
      <c r="G42" s="263"/>
      <c r="H42" s="264"/>
      <c r="I42" s="265"/>
      <c r="J42" s="285"/>
      <c r="K42" s="216"/>
      <c r="L42" s="216"/>
    </row>
    <row r="43" spans="1:12" ht="23.25" customHeight="1" x14ac:dyDescent="0.25">
      <c r="A43" s="216"/>
      <c r="B43" s="284"/>
      <c r="C43" s="299"/>
      <c r="D43" s="300"/>
      <c r="E43" s="300"/>
      <c r="F43" s="301"/>
      <c r="G43" s="263"/>
      <c r="H43" s="264"/>
      <c r="I43" s="265"/>
      <c r="J43" s="285">
        <f>+H43*I43</f>
        <v>0</v>
      </c>
      <c r="K43" s="216"/>
      <c r="L43" s="216"/>
    </row>
    <row r="44" spans="1:12" ht="21" customHeight="1" x14ac:dyDescent="0.25">
      <c r="A44" s="216"/>
      <c r="B44" s="227"/>
      <c r="C44" s="228"/>
      <c r="D44" s="228"/>
      <c r="E44" s="228"/>
      <c r="F44" s="228"/>
      <c r="G44" s="286"/>
      <c r="H44" s="235"/>
      <c r="I44" s="302" t="s">
        <v>1061</v>
      </c>
      <c r="J44" s="303">
        <f>SUM(J39:J43)</f>
        <v>1293.9627834550718</v>
      </c>
      <c r="K44" s="216"/>
      <c r="L44" s="216"/>
    </row>
    <row r="45" spans="1:12" ht="21" customHeight="1" thickBot="1" x14ac:dyDescent="0.3">
      <c r="A45" s="216"/>
      <c r="B45" s="227"/>
      <c r="C45" s="228"/>
      <c r="D45" s="228"/>
      <c r="E45" s="228"/>
      <c r="F45" s="228"/>
      <c r="G45" s="286"/>
      <c r="H45" s="235"/>
      <c r="I45" s="236"/>
      <c r="J45" s="240"/>
      <c r="K45" s="216"/>
      <c r="L45" s="216"/>
    </row>
    <row r="46" spans="1:12" ht="21" customHeight="1" thickBot="1" x14ac:dyDescent="0.3">
      <c r="A46" s="216"/>
      <c r="B46" s="227"/>
      <c r="C46" s="228"/>
      <c r="D46" s="228"/>
      <c r="E46" s="228"/>
      <c r="F46" s="228"/>
      <c r="G46" s="14" t="s">
        <v>1071</v>
      </c>
      <c r="H46" s="13"/>
      <c r="I46" s="12"/>
      <c r="J46" s="304">
        <f>ROUND((SUM(J44+J36+J28+J20)),2)</f>
        <v>7320</v>
      </c>
      <c r="K46" s="216"/>
      <c r="L46" s="216">
        <v>7320</v>
      </c>
    </row>
    <row r="47" spans="1:12" ht="21" customHeight="1" thickBot="1" x14ac:dyDescent="0.3">
      <c r="A47" s="216"/>
      <c r="B47" s="227"/>
      <c r="C47" s="228"/>
      <c r="D47" s="228"/>
      <c r="E47" s="228"/>
      <c r="F47" s="228"/>
      <c r="G47" s="394"/>
      <c r="H47" s="394"/>
      <c r="I47" s="305"/>
      <c r="J47" s="304"/>
      <c r="K47" s="216"/>
      <c r="L47" s="216"/>
    </row>
    <row r="48" spans="1:12" ht="21" customHeight="1" thickBot="1" x14ac:dyDescent="0.3">
      <c r="A48" s="216"/>
      <c r="B48" s="227"/>
      <c r="C48" s="228"/>
      <c r="D48" s="228"/>
      <c r="E48" s="228"/>
      <c r="F48" s="228"/>
      <c r="G48" s="14" t="s">
        <v>1072</v>
      </c>
      <c r="H48" s="13"/>
      <c r="I48" s="12"/>
      <c r="J48" s="306">
        <f>+J46+J47</f>
        <v>7320</v>
      </c>
      <c r="K48" s="216"/>
      <c r="L48" s="216"/>
    </row>
    <row r="49" spans="1:14" ht="15.75" customHeight="1" x14ac:dyDescent="0.25">
      <c r="A49" s="216"/>
      <c r="B49" s="307"/>
      <c r="C49" s="216"/>
      <c r="D49" s="216"/>
      <c r="E49" s="216"/>
      <c r="F49" s="216"/>
      <c r="G49" s="216"/>
      <c r="H49" s="216"/>
      <c r="I49" s="216"/>
      <c r="J49" s="308"/>
      <c r="K49" s="216"/>
      <c r="L49" s="216"/>
      <c r="M49" s="216"/>
      <c r="N49" s="216"/>
    </row>
    <row r="50" spans="1:14" ht="15.75" customHeight="1" x14ac:dyDescent="0.25">
      <c r="A50" s="216"/>
      <c r="B50" s="307"/>
      <c r="C50" s="216"/>
      <c r="D50" s="216"/>
      <c r="E50" s="216"/>
      <c r="F50" s="216"/>
      <c r="G50" s="216"/>
      <c r="H50" s="216"/>
      <c r="I50" s="216"/>
      <c r="J50" s="308"/>
      <c r="K50" s="216"/>
      <c r="L50" s="216"/>
      <c r="M50" s="216"/>
      <c r="N50" s="216"/>
    </row>
    <row r="51" spans="1:14" ht="15.75" customHeight="1" thickBot="1" x14ac:dyDescent="0.3">
      <c r="A51" s="216"/>
      <c r="B51" s="309"/>
      <c r="C51" s="310"/>
      <c r="D51" s="310"/>
      <c r="E51" s="310"/>
      <c r="F51" s="310"/>
      <c r="G51" s="310"/>
      <c r="H51" s="310"/>
      <c r="I51" s="310"/>
      <c r="J51" s="311"/>
      <c r="K51" s="216"/>
      <c r="L51" s="216"/>
      <c r="M51" s="216"/>
      <c r="N51" s="216"/>
    </row>
    <row r="52" spans="1:14" s="214" customFormat="1" ht="12.75" customHeight="1" thickBot="1" x14ac:dyDescent="0.3">
      <c r="A52" s="312"/>
      <c r="B52" s="216"/>
      <c r="C52" s="216"/>
      <c r="D52" s="216"/>
      <c r="E52" s="216"/>
      <c r="F52" s="216"/>
      <c r="G52" s="216"/>
      <c r="H52" s="216"/>
      <c r="I52" s="216"/>
      <c r="J52" s="216"/>
      <c r="K52" s="312"/>
      <c r="L52" s="312"/>
      <c r="M52" s="312"/>
      <c r="N52" s="312"/>
    </row>
    <row r="53" spans="1:14" ht="15.75" customHeight="1" x14ac:dyDescent="0.25">
      <c r="A53" s="216"/>
      <c r="B53" s="458"/>
      <c r="C53" s="459"/>
      <c r="D53" s="461" t="s">
        <v>1052</v>
      </c>
      <c r="E53" s="462"/>
      <c r="F53" s="462"/>
      <c r="G53" s="462"/>
      <c r="H53" s="463"/>
      <c r="I53" s="464"/>
      <c r="J53" s="465"/>
      <c r="K53" s="216"/>
      <c r="L53" s="216"/>
      <c r="M53" s="216"/>
      <c r="N53" s="216"/>
    </row>
    <row r="54" spans="1:14" ht="15.75" customHeight="1" thickBot="1" x14ac:dyDescent="0.3">
      <c r="A54" s="216"/>
      <c r="B54" s="460"/>
      <c r="C54" s="422"/>
      <c r="D54" s="426"/>
      <c r="E54" s="427"/>
      <c r="F54" s="427"/>
      <c r="G54" s="427"/>
      <c r="H54" s="428"/>
      <c r="I54" s="431"/>
      <c r="J54" s="466"/>
      <c r="K54" s="216"/>
      <c r="L54" s="216"/>
      <c r="M54" s="216"/>
      <c r="N54" s="216"/>
    </row>
    <row r="55" spans="1:14" ht="45" customHeight="1" thickBot="1" x14ac:dyDescent="0.3">
      <c r="A55" s="215"/>
      <c r="B55" s="218"/>
      <c r="C55" s="219"/>
      <c r="D55" s="219"/>
      <c r="E55" s="219"/>
      <c r="F55" s="219"/>
      <c r="G55" s="219"/>
      <c r="H55" s="219"/>
      <c r="I55" s="219"/>
      <c r="J55" s="220"/>
      <c r="K55" s="216"/>
      <c r="L55" s="216"/>
      <c r="M55" s="216"/>
      <c r="N55" s="216"/>
    </row>
    <row r="56" spans="1:14" ht="45" customHeight="1" thickBot="1" x14ac:dyDescent="0.3">
      <c r="A56" s="217"/>
      <c r="B56" s="433" t="s">
        <v>1053</v>
      </c>
      <c r="C56" s="434"/>
      <c r="D56" s="222"/>
      <c r="E56" s="223" t="s">
        <v>171</v>
      </c>
      <c r="F56" s="222">
        <v>30</v>
      </c>
      <c r="G56" s="222" t="s">
        <v>462</v>
      </c>
      <c r="H56" s="223">
        <v>4</v>
      </c>
      <c r="I56" s="224" t="s">
        <v>1054</v>
      </c>
      <c r="J56" s="225">
        <v>2026</v>
      </c>
      <c r="K56" s="216"/>
      <c r="L56" s="216"/>
      <c r="M56" s="216"/>
      <c r="N56" s="216"/>
    </row>
    <row r="57" spans="1:14" ht="10.5" customHeight="1" thickBot="1" x14ac:dyDescent="0.3">
      <c r="A57" s="217"/>
      <c r="B57" s="227"/>
      <c r="C57" s="228"/>
      <c r="D57" s="228"/>
      <c r="E57" s="228"/>
      <c r="F57" s="228"/>
      <c r="G57" s="228"/>
      <c r="H57" s="228"/>
      <c r="I57" s="228"/>
      <c r="J57" s="229"/>
      <c r="K57" s="216"/>
      <c r="L57" s="216"/>
      <c r="M57" s="216"/>
      <c r="N57" s="216"/>
    </row>
    <row r="58" spans="1:14" ht="21" customHeight="1" x14ac:dyDescent="0.25">
      <c r="A58" s="221"/>
      <c r="B58" s="451" t="s">
        <v>1055</v>
      </c>
      <c r="C58" s="436"/>
      <c r="D58" s="441" t="s">
        <v>1110</v>
      </c>
      <c r="E58" s="442"/>
      <c r="F58" s="442"/>
      <c r="G58" s="442"/>
      <c r="H58" s="442"/>
      <c r="I58" s="442"/>
      <c r="J58" s="454"/>
      <c r="K58" s="216"/>
      <c r="L58" s="216"/>
      <c r="M58" s="216"/>
      <c r="N58" s="216"/>
    </row>
    <row r="59" spans="1:14" ht="11.25" customHeight="1" x14ac:dyDescent="0.25">
      <c r="A59" s="226"/>
      <c r="B59" s="452"/>
      <c r="C59" s="438"/>
      <c r="D59" s="444"/>
      <c r="E59" s="445"/>
      <c r="F59" s="445"/>
      <c r="G59" s="445"/>
      <c r="H59" s="445"/>
      <c r="I59" s="445"/>
      <c r="J59" s="455"/>
      <c r="K59" s="216"/>
      <c r="L59" s="216"/>
      <c r="M59" s="216"/>
      <c r="N59" s="216"/>
    </row>
    <row r="60" spans="1:14" ht="87" customHeight="1" thickBot="1" x14ac:dyDescent="0.3">
      <c r="A60" s="215"/>
      <c r="B60" s="453"/>
      <c r="C60" s="440"/>
      <c r="D60" s="447"/>
      <c r="E60" s="448"/>
      <c r="F60" s="448"/>
      <c r="G60" s="448"/>
      <c r="H60" s="448"/>
      <c r="I60" s="448"/>
      <c r="J60" s="456"/>
      <c r="K60" s="216"/>
      <c r="L60" s="216"/>
      <c r="M60" s="216"/>
      <c r="N60" s="216"/>
    </row>
    <row r="61" spans="1:14" ht="22.5" customHeight="1" thickBot="1" x14ac:dyDescent="0.3">
      <c r="A61" s="215"/>
      <c r="B61" s="433"/>
      <c r="C61" s="405"/>
      <c r="D61" s="405"/>
      <c r="E61" s="405"/>
      <c r="F61" s="405"/>
      <c r="G61" s="405"/>
      <c r="H61" s="405"/>
      <c r="I61" s="405"/>
      <c r="J61" s="457"/>
      <c r="K61" s="216"/>
      <c r="L61" s="216"/>
      <c r="M61" s="216"/>
      <c r="N61" s="216"/>
    </row>
    <row r="62" spans="1:14" ht="22.5" customHeight="1" thickBot="1" x14ac:dyDescent="0.3">
      <c r="A62" s="215"/>
      <c r="B62" s="231" t="s">
        <v>1056</v>
      </c>
      <c r="C62" s="232">
        <v>1.2</v>
      </c>
      <c r="D62" s="473" t="str">
        <f>'ppto oficial '!B7</f>
        <v xml:space="preserve">Cerramiento en polisombra con madera rolliza incluye bloque en cemento </v>
      </c>
      <c r="E62" s="474"/>
      <c r="F62" s="474"/>
      <c r="G62" s="474"/>
      <c r="H62" s="475"/>
      <c r="I62" s="232" t="s">
        <v>1057</v>
      </c>
      <c r="J62" s="389" t="str">
        <f>'ppto oficial '!C7</f>
        <v>ml</v>
      </c>
      <c r="K62" s="216"/>
      <c r="L62" s="216"/>
      <c r="M62" s="216"/>
      <c r="N62" s="216"/>
    </row>
    <row r="63" spans="1:14" ht="11.25" customHeight="1" thickBot="1" x14ac:dyDescent="0.3">
      <c r="A63" s="215"/>
      <c r="B63" s="227"/>
      <c r="C63" s="228"/>
      <c r="D63" s="228"/>
      <c r="E63" s="228"/>
      <c r="F63" s="228"/>
      <c r="G63" s="228"/>
      <c r="H63" s="235"/>
      <c r="I63" s="236"/>
      <c r="J63" s="237"/>
      <c r="K63" s="216"/>
      <c r="L63" s="216"/>
      <c r="M63" s="216"/>
      <c r="N63" s="216"/>
    </row>
    <row r="64" spans="1:14" ht="33" customHeight="1" thickBot="1" x14ac:dyDescent="0.3">
      <c r="A64" s="230"/>
      <c r="B64" s="476" t="s">
        <v>1058</v>
      </c>
      <c r="C64" s="477"/>
      <c r="D64" s="477"/>
      <c r="E64" s="477"/>
      <c r="F64" s="477"/>
      <c r="G64" s="477"/>
      <c r="H64" s="477"/>
      <c r="I64" s="477"/>
      <c r="J64" s="478"/>
      <c r="K64" s="216"/>
      <c r="L64" s="216"/>
      <c r="M64" s="216"/>
      <c r="N64" s="232"/>
    </row>
    <row r="65" spans="1:15" ht="24" customHeight="1" thickBot="1" x14ac:dyDescent="0.3">
      <c r="A65" s="234"/>
      <c r="B65" s="278" t="s">
        <v>43</v>
      </c>
      <c r="C65" s="479" t="s">
        <v>2</v>
      </c>
      <c r="D65" s="480"/>
      <c r="E65" s="481"/>
      <c r="F65" s="313"/>
      <c r="G65" s="280" t="s">
        <v>105</v>
      </c>
      <c r="H65" s="280" t="s">
        <v>106</v>
      </c>
      <c r="I65" s="280" t="s">
        <v>1059</v>
      </c>
      <c r="J65" s="281" t="s">
        <v>1060</v>
      </c>
      <c r="K65" s="216"/>
      <c r="L65" s="216"/>
      <c r="M65" s="216"/>
      <c r="N65" s="216"/>
      <c r="O65" s="216"/>
    </row>
    <row r="66" spans="1:15" ht="12.75" customHeight="1" x14ac:dyDescent="0.25">
      <c r="A66" s="234"/>
      <c r="B66" s="282" t="s">
        <v>113</v>
      </c>
      <c r="C66" s="413" t="s">
        <v>114</v>
      </c>
      <c r="D66" s="414"/>
      <c r="E66" s="414"/>
      <c r="F66" s="415"/>
      <c r="G66" s="251" t="s">
        <v>1073</v>
      </c>
      <c r="H66" s="252">
        <f>+J89</f>
        <v>7317.1421955924388</v>
      </c>
      <c r="I66" s="314">
        <v>0.05</v>
      </c>
      <c r="J66" s="315">
        <v>365.85710977962196</v>
      </c>
      <c r="K66" s="216"/>
      <c r="L66" s="216"/>
      <c r="M66" s="216"/>
      <c r="N66" s="216"/>
      <c r="O66" s="216"/>
    </row>
    <row r="67" spans="1:15" ht="23.25" customHeight="1" x14ac:dyDescent="0.25">
      <c r="A67" s="234"/>
      <c r="B67" s="284"/>
      <c r="C67" s="398"/>
      <c r="D67" s="399"/>
      <c r="E67" s="399"/>
      <c r="F67" s="400"/>
      <c r="G67" s="263"/>
      <c r="H67" s="264"/>
      <c r="I67" s="265"/>
      <c r="J67" s="285"/>
      <c r="K67" s="216"/>
      <c r="L67" s="216"/>
      <c r="M67" s="216"/>
      <c r="N67" s="216"/>
      <c r="O67" s="216"/>
    </row>
    <row r="68" spans="1:15" ht="23.25" customHeight="1" x14ac:dyDescent="0.25">
      <c r="A68" s="230"/>
      <c r="B68" s="284"/>
      <c r="C68" s="11"/>
      <c r="D68" s="10"/>
      <c r="E68" s="10"/>
      <c r="F68" s="9"/>
      <c r="G68" s="263"/>
      <c r="H68" s="264"/>
      <c r="I68" s="265"/>
      <c r="J68" s="285"/>
      <c r="K68" s="216"/>
      <c r="L68" s="216"/>
      <c r="M68" s="216"/>
      <c r="N68" s="216"/>
      <c r="O68" s="216"/>
    </row>
    <row r="69" spans="1:15" ht="23.25" customHeight="1" x14ac:dyDescent="0.25">
      <c r="A69" s="230"/>
      <c r="B69" s="284"/>
      <c r="C69" s="11"/>
      <c r="D69" s="10"/>
      <c r="E69" s="10"/>
      <c r="F69" s="9"/>
      <c r="G69" s="263"/>
      <c r="H69" s="264"/>
      <c r="I69" s="265"/>
      <c r="J69" s="285"/>
      <c r="K69" s="216"/>
      <c r="L69" s="216"/>
      <c r="M69" s="216"/>
      <c r="N69" s="216"/>
      <c r="O69" s="216"/>
    </row>
    <row r="70" spans="1:15" ht="23.25" customHeight="1" x14ac:dyDescent="0.25">
      <c r="A70" s="216"/>
      <c r="B70" s="284"/>
      <c r="C70" s="11"/>
      <c r="D70" s="10"/>
      <c r="E70" s="10"/>
      <c r="F70" s="9"/>
      <c r="G70" s="263"/>
      <c r="H70" s="264"/>
      <c r="I70" s="265"/>
      <c r="J70" s="285"/>
      <c r="K70" s="216"/>
      <c r="L70" s="216"/>
      <c r="M70" s="216"/>
      <c r="N70" s="216"/>
      <c r="O70" s="216"/>
    </row>
    <row r="71" spans="1:15" ht="23.25" customHeight="1" thickBot="1" x14ac:dyDescent="0.3">
      <c r="A71" s="216"/>
      <c r="B71" s="227"/>
      <c r="C71" s="228"/>
      <c r="D71" s="267"/>
      <c r="E71" s="267"/>
      <c r="F71" s="267"/>
      <c r="G71" s="268"/>
      <c r="H71" s="269"/>
      <c r="I71" s="270" t="s">
        <v>1061</v>
      </c>
      <c r="J71" s="288">
        <f>ROUND((SUM(J66:J70)),2)</f>
        <v>365.86</v>
      </c>
      <c r="K71" s="216"/>
      <c r="L71" s="216"/>
      <c r="M71" s="216"/>
      <c r="N71" s="216"/>
      <c r="O71" s="216"/>
    </row>
    <row r="72" spans="1:15" ht="23.25" customHeight="1" thickBot="1" x14ac:dyDescent="0.3">
      <c r="A72" s="216"/>
      <c r="B72" s="316" t="s">
        <v>1062</v>
      </c>
      <c r="C72" s="239"/>
      <c r="D72" s="228"/>
      <c r="E72" s="228"/>
      <c r="F72" s="228"/>
      <c r="G72" s="228"/>
      <c r="H72" s="235"/>
      <c r="I72" s="291"/>
      <c r="J72" s="240"/>
      <c r="K72" s="216"/>
      <c r="L72" s="216"/>
      <c r="M72" s="216"/>
      <c r="N72" s="216"/>
      <c r="O72" s="216"/>
    </row>
    <row r="73" spans="1:15" ht="23.25" customHeight="1" thickBot="1" x14ac:dyDescent="0.3">
      <c r="A73" s="216"/>
      <c r="B73" s="292" t="s">
        <v>43</v>
      </c>
      <c r="C73" s="8" t="s">
        <v>44</v>
      </c>
      <c r="D73" s="7"/>
      <c r="E73" s="6"/>
      <c r="F73" s="293"/>
      <c r="G73" s="294" t="s">
        <v>45</v>
      </c>
      <c r="H73" s="294" t="s">
        <v>109</v>
      </c>
      <c r="I73" s="294" t="s">
        <v>4</v>
      </c>
      <c r="J73" s="295" t="s">
        <v>1060</v>
      </c>
      <c r="K73" s="216"/>
      <c r="L73" s="216"/>
      <c r="M73" s="216"/>
      <c r="N73" s="216"/>
      <c r="O73" s="216"/>
    </row>
    <row r="74" spans="1:15" ht="23.25" customHeight="1" thickBot="1" x14ac:dyDescent="0.3">
      <c r="A74" s="216"/>
      <c r="B74" s="282" t="s">
        <v>725</v>
      </c>
      <c r="C74" s="5" t="str">
        <f>VLOOKUP(B74,INSUMOS!$B$3:$E$310,2,FALSE)</f>
        <v>Polisombra</v>
      </c>
      <c r="D74" s="4"/>
      <c r="E74" s="4"/>
      <c r="F74" s="3"/>
      <c r="G74" s="258" t="s">
        <v>136</v>
      </c>
      <c r="H74" s="259">
        <v>2908</v>
      </c>
      <c r="I74" s="260">
        <v>1</v>
      </c>
      <c r="J74" s="317">
        <f>I74*H74</f>
        <v>2908</v>
      </c>
      <c r="K74" s="216"/>
      <c r="L74" s="216"/>
      <c r="M74" s="216"/>
      <c r="N74" s="216"/>
      <c r="O74" s="216"/>
    </row>
    <row r="75" spans="1:15" ht="51.75" customHeight="1" x14ac:dyDescent="0.25">
      <c r="A75" s="216"/>
      <c r="B75" s="282" t="s">
        <v>757</v>
      </c>
      <c r="C75" s="5" t="str">
        <f>VLOOKUP(B75,INSUMOS!$B$3:$E$310,2,FALSE)</f>
        <v>Madera rolliza ø entre 16 y 20cm (Eucalipto), longitud 6,00 m, inmunizada en autoclave.</v>
      </c>
      <c r="D75" s="4"/>
      <c r="E75" s="4"/>
      <c r="F75" s="3"/>
      <c r="G75" s="258" t="str">
        <f>VLOOKUP(B75,INSUMOS!$B$3:$E$310,3,FALSE)</f>
        <v>UND</v>
      </c>
      <c r="H75" s="259">
        <f>VLOOKUP(B75,INSUMOS!$B$3:$E$310,4,FALSE)</f>
        <v>28600</v>
      </c>
      <c r="I75" s="260">
        <v>0.5</v>
      </c>
      <c r="J75" s="317">
        <f>I75*H75</f>
        <v>14300</v>
      </c>
      <c r="K75" s="216"/>
      <c r="L75" s="216"/>
      <c r="M75" s="216"/>
      <c r="N75" s="216"/>
      <c r="O75" s="216"/>
    </row>
    <row r="76" spans="1:15" ht="21.75" customHeight="1" x14ac:dyDescent="0.25">
      <c r="A76" s="216"/>
      <c r="B76" s="284"/>
      <c r="C76" s="11" t="s">
        <v>1109</v>
      </c>
      <c r="D76" s="10"/>
      <c r="E76" s="10"/>
      <c r="F76" s="9"/>
      <c r="G76" s="263" t="s">
        <v>120</v>
      </c>
      <c r="H76" s="264">
        <v>22764.660000000003</v>
      </c>
      <c r="I76" s="265">
        <v>0.5</v>
      </c>
      <c r="J76" s="317">
        <f>I76*H76</f>
        <v>11382.330000000002</v>
      </c>
      <c r="K76" s="216"/>
      <c r="L76" s="216"/>
      <c r="M76" s="216"/>
      <c r="N76" s="216"/>
      <c r="O76" s="216"/>
    </row>
    <row r="77" spans="1:15" ht="23.25" customHeight="1" x14ac:dyDescent="0.25">
      <c r="A77" s="216"/>
      <c r="B77" s="284"/>
      <c r="C77" s="11"/>
      <c r="D77" s="10"/>
      <c r="E77" s="10"/>
      <c r="F77" s="9"/>
      <c r="G77" s="263"/>
      <c r="H77" s="264"/>
      <c r="I77" s="265"/>
      <c r="J77" s="285">
        <f>+I77*H77</f>
        <v>0</v>
      </c>
      <c r="K77" s="216"/>
      <c r="L77" s="216"/>
      <c r="M77" s="216"/>
      <c r="N77" s="216"/>
    </row>
    <row r="78" spans="1:15" ht="23.25" customHeight="1" x14ac:dyDescent="0.25">
      <c r="A78" s="216"/>
      <c r="B78" s="284"/>
      <c r="C78" s="11"/>
      <c r="D78" s="10"/>
      <c r="E78" s="10"/>
      <c r="F78" s="9"/>
      <c r="G78" s="263"/>
      <c r="H78" s="264"/>
      <c r="I78" s="265"/>
      <c r="J78" s="285"/>
      <c r="K78" s="216"/>
      <c r="L78" s="216"/>
      <c r="M78" s="216"/>
      <c r="N78" s="216"/>
      <c r="O78" s="216"/>
    </row>
    <row r="79" spans="1:15" ht="23.25" customHeight="1" thickBot="1" x14ac:dyDescent="0.3">
      <c r="A79" s="216"/>
      <c r="B79" s="227"/>
      <c r="C79" s="228"/>
      <c r="D79" s="228"/>
      <c r="E79" s="228"/>
      <c r="F79" s="228"/>
      <c r="G79" s="286"/>
      <c r="H79" s="287"/>
      <c r="I79" s="270" t="s">
        <v>1061</v>
      </c>
      <c r="J79" s="288">
        <f>ROUND((SUM(J74:J78)),2)</f>
        <v>28590.33</v>
      </c>
      <c r="K79" s="216"/>
      <c r="L79" s="216"/>
      <c r="M79" s="216"/>
      <c r="N79" s="216"/>
      <c r="O79" s="216"/>
    </row>
    <row r="80" spans="1:15" ht="23.25" customHeight="1" thickBot="1" x14ac:dyDescent="0.3">
      <c r="A80" s="216"/>
      <c r="B80" s="289" t="s">
        <v>1068</v>
      </c>
      <c r="C80" s="290"/>
      <c r="D80" s="228"/>
      <c r="E80" s="228"/>
      <c r="F80" s="228"/>
      <c r="G80" s="228"/>
      <c r="H80" s="235"/>
      <c r="I80" s="291"/>
      <c r="J80" s="240"/>
      <c r="K80" s="216"/>
      <c r="L80" s="216"/>
      <c r="M80" s="216"/>
      <c r="N80" s="216"/>
      <c r="O80" s="216"/>
    </row>
    <row r="81" spans="1:12" ht="23.25" customHeight="1" thickBot="1" x14ac:dyDescent="0.3">
      <c r="A81" s="216"/>
      <c r="B81" s="292" t="s">
        <v>43</v>
      </c>
      <c r="C81" s="8" t="s">
        <v>44</v>
      </c>
      <c r="D81" s="7"/>
      <c r="E81" s="6"/>
      <c r="F81" s="293"/>
      <c r="G81" s="294" t="s">
        <v>45</v>
      </c>
      <c r="H81" s="294" t="s">
        <v>108</v>
      </c>
      <c r="I81" s="294" t="s">
        <v>1069</v>
      </c>
      <c r="J81" s="295" t="s">
        <v>1060</v>
      </c>
      <c r="K81" s="216"/>
      <c r="L81" s="216"/>
    </row>
    <row r="82" spans="1:12" ht="36.75" customHeight="1" x14ac:dyDescent="0.25">
      <c r="A82" s="216"/>
      <c r="B82" s="282" t="s">
        <v>115</v>
      </c>
      <c r="C82" s="395" t="str">
        <f>VLOOKUP(B82,INSUMOS!$Q$4:$V$11,2,FALSE)</f>
        <v>Volqueta sencilla (6 M3)</v>
      </c>
      <c r="D82" s="396"/>
      <c r="E82" s="396"/>
      <c r="F82" s="397"/>
      <c r="G82" s="258" t="str">
        <f>VLOOKUP(B82,INSUMOS!$Q$4:$V$11,5,FALSE)</f>
        <v xml:space="preserve">6 M3 VJ </v>
      </c>
      <c r="H82" s="259">
        <f>VLOOKUP(B82,INSUMOS!$Q$4:$V$11,6,FALSE)</f>
        <v>120000</v>
      </c>
      <c r="I82" s="260">
        <f>1/(6*3)</f>
        <v>5.5555555555555552E-2</v>
      </c>
      <c r="J82" s="283">
        <f>+H82*I82</f>
        <v>6666.6666666666661</v>
      </c>
      <c r="K82" s="216"/>
      <c r="L82" s="216"/>
    </row>
    <row r="83" spans="1:12" ht="23.25" customHeight="1" x14ac:dyDescent="0.25">
      <c r="A83" s="216"/>
      <c r="B83" s="282"/>
      <c r="C83" s="11"/>
      <c r="D83" s="10"/>
      <c r="E83" s="10"/>
      <c r="F83" s="9"/>
      <c r="G83" s="258"/>
      <c r="H83" s="259"/>
      <c r="I83" s="260"/>
      <c r="J83" s="283"/>
      <c r="K83" s="216"/>
      <c r="L83" s="216"/>
    </row>
    <row r="84" spans="1:12" ht="23.25" customHeight="1" x14ac:dyDescent="0.25">
      <c r="A84" s="216"/>
      <c r="B84" s="282"/>
      <c r="C84" s="11"/>
      <c r="D84" s="10"/>
      <c r="E84" s="10"/>
      <c r="F84" s="9"/>
      <c r="G84" s="258"/>
      <c r="H84" s="259"/>
      <c r="I84" s="260"/>
      <c r="J84" s="283">
        <f>+G84*I84</f>
        <v>0</v>
      </c>
      <c r="K84" s="216"/>
      <c r="L84" s="216"/>
    </row>
    <row r="85" spans="1:12" ht="23.25" customHeight="1" x14ac:dyDescent="0.25">
      <c r="A85" s="216"/>
      <c r="B85" s="284"/>
      <c r="C85" s="11"/>
      <c r="D85" s="10"/>
      <c r="E85" s="10"/>
      <c r="F85" s="9"/>
      <c r="G85" s="263"/>
      <c r="H85" s="264"/>
      <c r="I85" s="265"/>
      <c r="J85" s="285">
        <f>+G85*I85</f>
        <v>0</v>
      </c>
      <c r="K85" s="216"/>
      <c r="L85" s="216"/>
    </row>
    <row r="86" spans="1:12" ht="23.25" customHeight="1" thickBot="1" x14ac:dyDescent="0.3">
      <c r="A86" s="216"/>
      <c r="B86" s="227"/>
      <c r="C86" s="228"/>
      <c r="D86" s="228"/>
      <c r="E86" s="228"/>
      <c r="F86" s="228"/>
      <c r="G86" s="228"/>
      <c r="H86" s="235"/>
      <c r="I86" s="298" t="s">
        <v>1061</v>
      </c>
      <c r="J86" s="288">
        <f>ROUND((SUM(J82:J85)),2)</f>
        <v>6666.67</v>
      </c>
      <c r="K86" s="216"/>
      <c r="L86" s="216"/>
    </row>
    <row r="87" spans="1:12" ht="23.25" customHeight="1" thickBot="1" x14ac:dyDescent="0.3">
      <c r="A87" s="216"/>
      <c r="B87" s="289" t="s">
        <v>1070</v>
      </c>
      <c r="C87" s="290"/>
      <c r="D87" s="228"/>
      <c r="E87" s="228"/>
      <c r="F87" s="228"/>
      <c r="G87" s="228"/>
      <c r="H87" s="235"/>
      <c r="I87" s="291"/>
      <c r="J87" s="240"/>
      <c r="K87" s="216"/>
      <c r="L87" s="216"/>
    </row>
    <row r="88" spans="1:12" ht="23.25" customHeight="1" thickBot="1" x14ac:dyDescent="0.3">
      <c r="A88" s="216"/>
      <c r="B88" s="292" t="s">
        <v>43</v>
      </c>
      <c r="C88" s="8" t="s">
        <v>44</v>
      </c>
      <c r="D88" s="7"/>
      <c r="E88" s="6"/>
      <c r="F88" s="293"/>
      <c r="G88" s="294" t="s">
        <v>45</v>
      </c>
      <c r="H88" s="294" t="s">
        <v>109</v>
      </c>
      <c r="I88" s="294" t="s">
        <v>1059</v>
      </c>
      <c r="J88" s="295" t="s">
        <v>1060</v>
      </c>
      <c r="K88" s="216"/>
      <c r="L88" s="216"/>
    </row>
    <row r="89" spans="1:12" ht="23.25" customHeight="1" x14ac:dyDescent="0.25">
      <c r="A89" s="216"/>
      <c r="B89" s="282" t="s">
        <v>80</v>
      </c>
      <c r="C89" s="5" t="str">
        <f>VLOOKUP(B89,CUADRILLAS!$B$4:$G$19,2,)</f>
        <v>CUADRILLA IV (Técnico + 2 ayudante)</v>
      </c>
      <c r="D89" s="4"/>
      <c r="E89" s="4"/>
      <c r="F89" s="3"/>
      <c r="G89" s="259" t="str">
        <f>VLOOKUP(B89,CUADRILLAS!$B$4:$G$19,5,FALSE)</f>
        <v>H</v>
      </c>
      <c r="H89" s="296">
        <f>VLOOKUP(B89,CUADRILLAS!$B$4:$G$19,6,FALSE)</f>
        <v>91122.026985000004</v>
      </c>
      <c r="I89" s="260">
        <v>8.0300476599329221E-2</v>
      </c>
      <c r="J89" s="297">
        <f>H89*I89</f>
        <v>7317.1421955924388</v>
      </c>
      <c r="K89" s="216"/>
      <c r="L89" s="216"/>
    </row>
    <row r="90" spans="1:12" ht="23.25" customHeight="1" x14ac:dyDescent="0.25">
      <c r="A90" s="216"/>
      <c r="B90" s="284"/>
      <c r="C90" s="2"/>
      <c r="D90" s="1"/>
      <c r="E90" s="1"/>
      <c r="F90" s="15"/>
      <c r="G90" s="263"/>
      <c r="H90" s="264"/>
      <c r="I90" s="265"/>
      <c r="J90" s="285"/>
      <c r="K90" s="216"/>
      <c r="L90" s="216"/>
    </row>
    <row r="91" spans="1:12" ht="23.25" customHeight="1" x14ac:dyDescent="0.25">
      <c r="A91" s="216"/>
      <c r="B91" s="284"/>
      <c r="C91" s="299"/>
      <c r="D91" s="300"/>
      <c r="E91" s="300"/>
      <c r="F91" s="301"/>
      <c r="G91" s="263"/>
      <c r="H91" s="264"/>
      <c r="I91" s="265"/>
      <c r="J91" s="285"/>
      <c r="K91" s="216"/>
      <c r="L91" s="216"/>
    </row>
    <row r="92" spans="1:12" ht="23.25" customHeight="1" x14ac:dyDescent="0.25">
      <c r="A92" s="216"/>
      <c r="B92" s="284"/>
      <c r="C92" s="299"/>
      <c r="D92" s="300"/>
      <c r="E92" s="300"/>
      <c r="F92" s="301"/>
      <c r="G92" s="263"/>
      <c r="H92" s="264"/>
      <c r="I92" s="265"/>
      <c r="J92" s="285"/>
      <c r="K92" s="216"/>
      <c r="L92" s="216"/>
    </row>
    <row r="93" spans="1:12" ht="23.25" customHeight="1" x14ac:dyDescent="0.25">
      <c r="A93" s="216"/>
      <c r="B93" s="284"/>
      <c r="C93" s="299"/>
      <c r="D93" s="300"/>
      <c r="E93" s="300"/>
      <c r="F93" s="301"/>
      <c r="G93" s="263"/>
      <c r="H93" s="264"/>
      <c r="I93" s="265"/>
      <c r="J93" s="285">
        <f>+H93*I93</f>
        <v>0</v>
      </c>
      <c r="K93" s="216"/>
      <c r="L93" s="216"/>
    </row>
    <row r="94" spans="1:12" ht="23.25" customHeight="1" x14ac:dyDescent="0.25">
      <c r="A94" s="216"/>
      <c r="B94" s="227"/>
      <c r="C94" s="228"/>
      <c r="D94" s="228"/>
      <c r="E94" s="228"/>
      <c r="F94" s="228"/>
      <c r="G94" s="286"/>
      <c r="H94" s="235"/>
      <c r="I94" s="302" t="s">
        <v>1061</v>
      </c>
      <c r="J94" s="303">
        <f>SUM(J89:J93)</f>
        <v>7317.1421955924388</v>
      </c>
      <c r="K94" s="216"/>
      <c r="L94" s="216"/>
    </row>
    <row r="95" spans="1:12" ht="23.25" customHeight="1" thickBot="1" x14ac:dyDescent="0.3">
      <c r="A95" s="216"/>
      <c r="B95" s="227"/>
      <c r="C95" s="228"/>
      <c r="D95" s="228"/>
      <c r="E95" s="228"/>
      <c r="F95" s="228"/>
      <c r="G95" s="286"/>
      <c r="H95" s="235"/>
      <c r="I95" s="236"/>
      <c r="J95" s="240"/>
      <c r="K95" s="216"/>
      <c r="L95" s="216"/>
    </row>
    <row r="96" spans="1:12" ht="23.25" customHeight="1" thickBot="1" x14ac:dyDescent="0.3">
      <c r="A96" s="216"/>
      <c r="B96" s="227"/>
      <c r="C96" s="228"/>
      <c r="D96" s="228"/>
      <c r="E96" s="228"/>
      <c r="F96" s="228"/>
      <c r="G96" s="14" t="s">
        <v>1071</v>
      </c>
      <c r="H96" s="13"/>
      <c r="I96" s="12"/>
      <c r="J96" s="304">
        <f>ROUND((SUM(J94+J86+J79+J71)),2)</f>
        <v>42940</v>
      </c>
      <c r="K96" s="216"/>
      <c r="L96" s="216">
        <v>42940</v>
      </c>
    </row>
    <row r="97" spans="1:11" ht="21" customHeight="1" thickBot="1" x14ac:dyDescent="0.3">
      <c r="A97" s="216"/>
      <c r="B97" s="227"/>
      <c r="C97" s="228"/>
      <c r="D97" s="228"/>
      <c r="E97" s="228"/>
      <c r="F97" s="228"/>
      <c r="G97" s="394"/>
      <c r="H97" s="394"/>
      <c r="I97" s="305"/>
      <c r="J97" s="304"/>
      <c r="K97" s="216"/>
    </row>
    <row r="98" spans="1:11" ht="21" customHeight="1" thickBot="1" x14ac:dyDescent="0.3">
      <c r="A98" s="216"/>
      <c r="B98" s="227"/>
      <c r="C98" s="228"/>
      <c r="D98" s="228"/>
      <c r="E98" s="228"/>
      <c r="F98" s="228"/>
      <c r="G98" s="14" t="s">
        <v>1072</v>
      </c>
      <c r="H98" s="13"/>
      <c r="I98" s="12"/>
      <c r="J98" s="306">
        <f>+J96+J97</f>
        <v>42940</v>
      </c>
      <c r="K98" s="216"/>
    </row>
    <row r="99" spans="1:11" ht="21" customHeight="1" x14ac:dyDescent="0.25">
      <c r="A99" s="216"/>
      <c r="B99" s="307"/>
      <c r="C99" s="216"/>
      <c r="D99" s="216"/>
      <c r="E99" s="216"/>
      <c r="F99" s="216"/>
      <c r="G99" s="216"/>
      <c r="H99" s="216"/>
      <c r="I99" s="216"/>
      <c r="J99" s="308"/>
      <c r="K99" s="216"/>
    </row>
    <row r="100" spans="1:11" ht="21" customHeight="1" x14ac:dyDescent="0.25">
      <c r="A100" s="216"/>
      <c r="B100" s="307"/>
      <c r="C100" s="216"/>
      <c r="D100" s="216"/>
      <c r="E100" s="216"/>
      <c r="F100" s="216"/>
      <c r="G100" s="216"/>
      <c r="H100" s="216"/>
      <c r="I100" s="216"/>
      <c r="J100" s="308"/>
      <c r="K100" s="216"/>
    </row>
    <row r="101" spans="1:11" ht="21" customHeight="1" thickBot="1" x14ac:dyDescent="0.3">
      <c r="A101" s="216"/>
      <c r="B101" s="309"/>
      <c r="C101" s="310"/>
      <c r="D101" s="310"/>
      <c r="E101" s="310"/>
      <c r="F101" s="310"/>
      <c r="G101" s="310"/>
      <c r="H101" s="310"/>
      <c r="I101" s="310"/>
      <c r="J101" s="311"/>
      <c r="K101" s="216"/>
    </row>
    <row r="102" spans="1:11" ht="15.75" customHeight="1" thickBot="1" x14ac:dyDescent="0.3">
      <c r="A102" s="216"/>
      <c r="B102" s="216"/>
      <c r="C102" s="216"/>
      <c r="D102" s="216"/>
      <c r="E102" s="216"/>
      <c r="F102" s="216"/>
      <c r="G102" s="216"/>
      <c r="H102" s="216"/>
      <c r="I102" s="216"/>
      <c r="J102" s="216"/>
      <c r="K102" s="216"/>
    </row>
    <row r="103" spans="1:11" ht="15.75" customHeight="1" x14ac:dyDescent="0.25">
      <c r="A103" s="216"/>
      <c r="B103" s="458"/>
      <c r="C103" s="459"/>
      <c r="D103" s="461" t="s">
        <v>1052</v>
      </c>
      <c r="E103" s="462"/>
      <c r="F103" s="462"/>
      <c r="G103" s="462"/>
      <c r="H103" s="463"/>
      <c r="I103" s="464"/>
      <c r="J103" s="465"/>
      <c r="K103" s="216"/>
    </row>
    <row r="104" spans="1:11" ht="15.75" customHeight="1" thickBot="1" x14ac:dyDescent="0.3">
      <c r="A104" s="216"/>
      <c r="B104" s="460"/>
      <c r="C104" s="422"/>
      <c r="D104" s="426"/>
      <c r="E104" s="427"/>
      <c r="F104" s="427"/>
      <c r="G104" s="427"/>
      <c r="H104" s="428"/>
      <c r="I104" s="431"/>
      <c r="J104" s="466"/>
      <c r="K104" s="216"/>
    </row>
    <row r="105" spans="1:11" s="214" customFormat="1" ht="51" customHeight="1" thickBot="1" x14ac:dyDescent="0.3">
      <c r="A105" s="312"/>
      <c r="B105" s="218"/>
      <c r="C105" s="219"/>
      <c r="D105" s="219"/>
      <c r="E105" s="219"/>
      <c r="F105" s="219"/>
      <c r="G105" s="219"/>
      <c r="H105" s="219"/>
      <c r="I105" s="219"/>
      <c r="J105" s="220"/>
      <c r="K105" s="312"/>
    </row>
    <row r="106" spans="1:11" ht="49.5" customHeight="1" thickBot="1" x14ac:dyDescent="0.3">
      <c r="A106" s="216"/>
      <c r="B106" s="433" t="s">
        <v>1053</v>
      </c>
      <c r="C106" s="434"/>
      <c r="D106" s="222"/>
      <c r="E106" s="223" t="s">
        <v>171</v>
      </c>
      <c r="F106" s="222">
        <v>30</v>
      </c>
      <c r="G106" s="222" t="s">
        <v>462</v>
      </c>
      <c r="H106" s="223">
        <v>4</v>
      </c>
      <c r="I106" s="224" t="s">
        <v>1054</v>
      </c>
      <c r="J106" s="225">
        <v>2026</v>
      </c>
      <c r="K106" s="216"/>
    </row>
    <row r="107" spans="1:11" ht="15.75" customHeight="1" thickBot="1" x14ac:dyDescent="0.3">
      <c r="A107" s="216"/>
      <c r="B107" s="227"/>
      <c r="C107" s="228"/>
      <c r="D107" s="228"/>
      <c r="E107" s="228"/>
      <c r="F107" s="228"/>
      <c r="G107" s="228"/>
      <c r="H107" s="228"/>
      <c r="I107" s="228"/>
      <c r="J107" s="229"/>
      <c r="K107" s="216"/>
    </row>
    <row r="108" spans="1:11" ht="45" customHeight="1" x14ac:dyDescent="0.25">
      <c r="A108" s="215"/>
      <c r="B108" s="451" t="s">
        <v>1055</v>
      </c>
      <c r="C108" s="436"/>
      <c r="D108" s="441" t="s">
        <v>1110</v>
      </c>
      <c r="E108" s="442"/>
      <c r="F108" s="442"/>
      <c r="G108" s="442"/>
      <c r="H108" s="442"/>
      <c r="I108" s="442"/>
      <c r="J108" s="454"/>
      <c r="K108" s="216"/>
    </row>
    <row r="109" spans="1:11" ht="45" customHeight="1" x14ac:dyDescent="0.25">
      <c r="A109" s="217"/>
      <c r="B109" s="452"/>
      <c r="C109" s="438"/>
      <c r="D109" s="444"/>
      <c r="E109" s="445"/>
      <c r="F109" s="445"/>
      <c r="G109" s="445"/>
      <c r="H109" s="445"/>
      <c r="I109" s="445"/>
      <c r="J109" s="455"/>
      <c r="K109" s="216"/>
    </row>
    <row r="110" spans="1:11" ht="10.5" customHeight="1" thickBot="1" x14ac:dyDescent="0.3">
      <c r="A110" s="217"/>
      <c r="B110" s="453"/>
      <c r="C110" s="440"/>
      <c r="D110" s="447"/>
      <c r="E110" s="448"/>
      <c r="F110" s="448"/>
      <c r="G110" s="448"/>
      <c r="H110" s="448"/>
      <c r="I110" s="448"/>
      <c r="J110" s="456"/>
      <c r="K110" s="216"/>
    </row>
    <row r="111" spans="1:11" ht="21" customHeight="1" thickBot="1" x14ac:dyDescent="0.3">
      <c r="A111" s="221"/>
      <c r="B111" s="433"/>
      <c r="C111" s="405"/>
      <c r="D111" s="405"/>
      <c r="E111" s="405"/>
      <c r="F111" s="405"/>
      <c r="G111" s="405"/>
      <c r="H111" s="405"/>
      <c r="I111" s="405"/>
      <c r="J111" s="457"/>
      <c r="K111" s="216"/>
    </row>
    <row r="112" spans="1:11" ht="45" customHeight="1" thickBot="1" x14ac:dyDescent="0.3">
      <c r="A112" s="226"/>
      <c r="B112" s="231" t="s">
        <v>1056</v>
      </c>
      <c r="C112" s="232">
        <v>1.3</v>
      </c>
      <c r="D112" s="407" t="str">
        <f>'ppto oficial '!B8</f>
        <v>Lavado de fachada con hidrolavadora incluye andamiado y salvavida</v>
      </c>
      <c r="E112" s="408"/>
      <c r="F112" s="408"/>
      <c r="G112" s="408"/>
      <c r="H112" s="409"/>
      <c r="I112" s="232" t="s">
        <v>1057</v>
      </c>
      <c r="J112" s="233" t="str">
        <f>VLOOKUP(C112,'ppto oficial '!$A$5:$D$30,3,FALSE)</f>
        <v>m2</v>
      </c>
      <c r="K112" s="216"/>
    </row>
    <row r="113" spans="1:15" ht="25.5" customHeight="1" thickBot="1" x14ac:dyDescent="0.3">
      <c r="A113" s="215"/>
      <c r="B113" s="227"/>
      <c r="C113" s="228"/>
      <c r="D113" s="228"/>
      <c r="E113" s="228"/>
      <c r="F113" s="228"/>
      <c r="G113" s="228"/>
      <c r="H113" s="235"/>
      <c r="I113" s="236"/>
      <c r="J113" s="237"/>
      <c r="K113" s="216"/>
      <c r="L113" s="216"/>
      <c r="M113" s="216"/>
      <c r="N113" s="216"/>
      <c r="O113" s="216"/>
    </row>
    <row r="114" spans="1:15" ht="22.5" customHeight="1" thickBot="1" x14ac:dyDescent="0.3">
      <c r="A114" s="215"/>
      <c r="B114" s="238" t="s">
        <v>1058</v>
      </c>
      <c r="C114" s="239"/>
      <c r="D114" s="228"/>
      <c r="E114" s="228"/>
      <c r="F114" s="228"/>
      <c r="G114" s="228"/>
      <c r="H114" s="235"/>
      <c r="I114" s="236"/>
      <c r="J114" s="240"/>
      <c r="K114" s="216"/>
      <c r="L114" s="216"/>
      <c r="M114" s="216"/>
      <c r="N114" s="216"/>
      <c r="O114" s="216"/>
    </row>
    <row r="115" spans="1:15" ht="22.5" customHeight="1" thickBot="1" x14ac:dyDescent="0.3">
      <c r="A115" s="215"/>
      <c r="B115" s="318" t="s">
        <v>43</v>
      </c>
      <c r="C115" s="410" t="s">
        <v>2</v>
      </c>
      <c r="D115" s="411"/>
      <c r="E115" s="412"/>
      <c r="F115" s="319"/>
      <c r="G115" s="320" t="s">
        <v>105</v>
      </c>
      <c r="H115" s="320" t="s">
        <v>106</v>
      </c>
      <c r="I115" s="320" t="s">
        <v>1059</v>
      </c>
      <c r="J115" s="321" t="s">
        <v>1060</v>
      </c>
      <c r="K115" s="216"/>
      <c r="L115" s="216"/>
      <c r="M115" s="216"/>
      <c r="N115" s="216"/>
      <c r="O115" s="216"/>
    </row>
    <row r="116" spans="1:15" ht="27.75" customHeight="1" thickBot="1" x14ac:dyDescent="0.3">
      <c r="A116" s="215"/>
      <c r="B116" s="282" t="s">
        <v>113</v>
      </c>
      <c r="C116" s="413" t="s">
        <v>114</v>
      </c>
      <c r="D116" s="414"/>
      <c r="E116" s="414"/>
      <c r="F116" s="415"/>
      <c r="G116" s="251" t="s">
        <v>1073</v>
      </c>
      <c r="H116" s="252">
        <f>+J139</f>
        <v>28869.282391426128</v>
      </c>
      <c r="I116" s="314">
        <v>0.05</v>
      </c>
      <c r="J116" s="315">
        <v>365.85710977962196</v>
      </c>
      <c r="K116" s="216"/>
      <c r="L116" s="216"/>
      <c r="M116" s="216"/>
      <c r="N116" s="216"/>
      <c r="O116" s="216"/>
    </row>
    <row r="117" spans="1:15" ht="32.25" customHeight="1" thickBot="1" x14ac:dyDescent="0.3">
      <c r="A117" s="230"/>
      <c r="B117" s="262" t="s">
        <v>411</v>
      </c>
      <c r="C117" s="416" t="str">
        <f>VLOOKUP(B117,INSUMOS!$K$4:$N$135,2,FALSE)</f>
        <v>Hidrolavadora eléctrica</v>
      </c>
      <c r="D117" s="417"/>
      <c r="E117" s="417"/>
      <c r="F117" s="418"/>
      <c r="G117" s="251" t="str">
        <f>VLOOKUP(B117,INSUMOS!$K$4:$N$135,3,FALSE)</f>
        <v>Día</v>
      </c>
      <c r="H117" s="252">
        <f>VLOOKUP(B117,INSUMOS!$K$4:$N$135,4,FALSE)</f>
        <v>76800</v>
      </c>
      <c r="I117" s="322">
        <f>+I139/8</f>
        <v>5.6575004599787877E-2</v>
      </c>
      <c r="J117" s="323">
        <f>+H117*I117</f>
        <v>4344.9603532637093</v>
      </c>
      <c r="K117" s="216"/>
      <c r="L117" s="216"/>
      <c r="M117" s="216"/>
      <c r="N117" s="216"/>
      <c r="O117" s="232"/>
    </row>
    <row r="118" spans="1:15" ht="39.75" customHeight="1" x14ac:dyDescent="0.25">
      <c r="A118" s="234"/>
      <c r="B118" s="262" t="s">
        <v>169</v>
      </c>
      <c r="C118" s="416" t="str">
        <f>VLOOKUP(B118,INSUMOS!$K$4:$N$135,2,FALSE)</f>
        <v xml:space="preserve">Andamio certificado x modulo </v>
      </c>
      <c r="D118" s="417"/>
      <c r="E118" s="417"/>
      <c r="F118" s="418"/>
      <c r="G118" s="251" t="str">
        <f>VLOOKUP(B118,INSUMOS!$K$4:$N$135,3,FALSE)</f>
        <v>DIA</v>
      </c>
      <c r="H118" s="252">
        <f>VLOOKUP(B118,INSUMOS!$K$4:$N$135,4,FALSE)</f>
        <v>12000</v>
      </c>
      <c r="I118" s="322">
        <f>+I139/8</f>
        <v>5.6575004599787877E-2</v>
      </c>
      <c r="J118" s="323">
        <f>+H118*I118</f>
        <v>678.90005519745455</v>
      </c>
      <c r="K118" s="216"/>
      <c r="L118" s="216"/>
      <c r="M118" s="216"/>
      <c r="N118" s="216"/>
      <c r="O118" s="216"/>
    </row>
    <row r="119" spans="1:15" ht="12.75" customHeight="1" x14ac:dyDescent="0.25">
      <c r="A119" s="234"/>
      <c r="B119" s="262"/>
      <c r="C119" s="11"/>
      <c r="D119" s="10"/>
      <c r="E119" s="10"/>
      <c r="F119" s="9"/>
      <c r="G119" s="263"/>
      <c r="H119" s="264"/>
      <c r="I119" s="265"/>
      <c r="J119" s="261"/>
      <c r="K119" s="216"/>
      <c r="L119" s="216"/>
      <c r="M119" s="216"/>
      <c r="N119" s="216"/>
      <c r="O119" s="216"/>
    </row>
    <row r="120" spans="1:15" ht="23.25" customHeight="1" x14ac:dyDescent="0.25">
      <c r="A120" s="234"/>
      <c r="B120" s="262"/>
      <c r="C120" s="11"/>
      <c r="D120" s="10"/>
      <c r="E120" s="10"/>
      <c r="F120" s="9"/>
      <c r="G120" s="263"/>
      <c r="H120" s="264"/>
      <c r="I120" s="265"/>
      <c r="J120" s="261"/>
      <c r="K120" s="216"/>
      <c r="L120" s="216"/>
      <c r="M120" s="216"/>
      <c r="N120" s="216"/>
      <c r="O120" s="216"/>
    </row>
    <row r="121" spans="1:15" ht="23.25" customHeight="1" thickBot="1" x14ac:dyDescent="0.3">
      <c r="A121" s="230"/>
      <c r="B121" s="266"/>
      <c r="C121" s="228"/>
      <c r="D121" s="267"/>
      <c r="E121" s="267"/>
      <c r="F121" s="267"/>
      <c r="G121" s="268"/>
      <c r="H121" s="269"/>
      <c r="I121" s="270" t="s">
        <v>1061</v>
      </c>
      <c r="J121" s="271">
        <f>ROUND((SUM(J116:J120)),2)</f>
        <v>5389.72</v>
      </c>
      <c r="K121" s="216"/>
      <c r="L121" s="216"/>
      <c r="M121" s="216"/>
      <c r="N121" s="216"/>
      <c r="O121" s="216"/>
    </row>
    <row r="122" spans="1:15" ht="23.25" customHeight="1" thickBot="1" x14ac:dyDescent="0.3">
      <c r="A122" s="230"/>
      <c r="B122" s="272" t="s">
        <v>1062</v>
      </c>
      <c r="C122" s="273"/>
      <c r="D122" s="274"/>
      <c r="E122" s="274"/>
      <c r="F122" s="274"/>
      <c r="G122" s="274"/>
      <c r="H122" s="275"/>
      <c r="I122" s="276"/>
      <c r="J122" s="277"/>
      <c r="K122" s="216"/>
      <c r="L122" s="216"/>
      <c r="M122" s="216"/>
      <c r="N122" s="216"/>
      <c r="O122" s="216"/>
    </row>
    <row r="123" spans="1:15" ht="23.25" customHeight="1" thickBot="1" x14ac:dyDescent="0.3">
      <c r="A123" s="216"/>
      <c r="B123" s="278" t="s">
        <v>43</v>
      </c>
      <c r="C123" s="401" t="s">
        <v>44</v>
      </c>
      <c r="D123" s="402"/>
      <c r="E123" s="403"/>
      <c r="F123" s="279"/>
      <c r="G123" s="280" t="s">
        <v>45</v>
      </c>
      <c r="H123" s="280" t="s">
        <v>109</v>
      </c>
      <c r="I123" s="280" t="s">
        <v>4</v>
      </c>
      <c r="J123" s="281" t="s">
        <v>1060</v>
      </c>
      <c r="K123" s="216"/>
      <c r="L123" s="216"/>
      <c r="M123" s="216"/>
      <c r="N123" s="216"/>
      <c r="O123" s="216"/>
    </row>
    <row r="124" spans="1:15" ht="23.25" customHeight="1" x14ac:dyDescent="0.25">
      <c r="A124" s="216"/>
      <c r="B124" s="325"/>
      <c r="C124" s="326"/>
      <c r="D124" s="327"/>
      <c r="E124" s="327"/>
      <c r="F124" s="328"/>
      <c r="G124" s="329"/>
      <c r="H124" s="329"/>
      <c r="I124" s="329"/>
      <c r="J124" s="330"/>
      <c r="K124" s="216"/>
      <c r="L124" s="216"/>
      <c r="M124" s="216"/>
      <c r="N124" s="216"/>
      <c r="O124" s="216"/>
    </row>
    <row r="125" spans="1:15" ht="23.25" customHeight="1" x14ac:dyDescent="0.25">
      <c r="A125" s="216"/>
      <c r="B125" s="284"/>
      <c r="C125" s="11"/>
      <c r="D125" s="10"/>
      <c r="E125" s="10"/>
      <c r="F125" s="9"/>
      <c r="G125" s="263"/>
      <c r="H125" s="264"/>
      <c r="I125" s="265"/>
      <c r="J125" s="283"/>
      <c r="K125" s="216"/>
      <c r="L125" s="216"/>
      <c r="M125" s="216"/>
      <c r="N125" s="216"/>
      <c r="O125" s="216"/>
    </row>
    <row r="126" spans="1:15" ht="23.25" customHeight="1" x14ac:dyDescent="0.25">
      <c r="A126" s="216"/>
      <c r="B126" s="284"/>
      <c r="C126" s="11"/>
      <c r="D126" s="10"/>
      <c r="E126" s="10"/>
      <c r="F126" s="9"/>
      <c r="G126" s="263"/>
      <c r="H126" s="264"/>
      <c r="I126" s="265"/>
      <c r="J126" s="283"/>
      <c r="K126" s="216"/>
      <c r="L126" s="216"/>
      <c r="M126" s="216"/>
      <c r="N126" s="216"/>
      <c r="O126" s="216"/>
    </row>
    <row r="127" spans="1:15" ht="23.25" customHeight="1" x14ac:dyDescent="0.25">
      <c r="A127" s="216"/>
      <c r="B127" s="284"/>
      <c r="C127" s="11"/>
      <c r="D127" s="10"/>
      <c r="E127" s="10"/>
      <c r="F127" s="9"/>
      <c r="G127" s="263"/>
      <c r="H127" s="264"/>
      <c r="I127" s="265"/>
      <c r="J127" s="283"/>
      <c r="K127" s="216"/>
      <c r="L127" s="216"/>
      <c r="M127" s="216"/>
      <c r="N127" s="216"/>
      <c r="O127" s="216"/>
    </row>
    <row r="128" spans="1:15" ht="23.25" customHeight="1" thickBot="1" x14ac:dyDescent="0.3">
      <c r="A128" s="216"/>
      <c r="B128" s="227"/>
      <c r="C128" s="228"/>
      <c r="D128" s="228"/>
      <c r="E128" s="228"/>
      <c r="F128" s="228"/>
      <c r="G128" s="286"/>
      <c r="H128" s="287"/>
      <c r="I128" s="270" t="s">
        <v>1061</v>
      </c>
      <c r="J128" s="288">
        <f>ROUND((SUM(J125:J127)),2)</f>
        <v>0</v>
      </c>
      <c r="K128" s="216"/>
      <c r="L128" s="216"/>
      <c r="M128" s="216"/>
      <c r="N128" s="216"/>
      <c r="O128" s="216"/>
    </row>
    <row r="129" spans="1:15" ht="23.25" customHeight="1" thickBot="1" x14ac:dyDescent="0.3">
      <c r="A129" s="216"/>
      <c r="B129" s="289" t="s">
        <v>1068</v>
      </c>
      <c r="C129" s="290"/>
      <c r="D129" s="228"/>
      <c r="E129" s="228"/>
      <c r="F129" s="228"/>
      <c r="G129" s="228"/>
      <c r="H129" s="235"/>
      <c r="I129" s="291"/>
      <c r="J129" s="240"/>
      <c r="K129" s="216"/>
      <c r="L129" s="216"/>
      <c r="M129" s="216"/>
      <c r="N129" s="216"/>
      <c r="O129" s="216"/>
    </row>
    <row r="130" spans="1:15" ht="23.25" customHeight="1" thickBot="1" x14ac:dyDescent="0.3">
      <c r="A130" s="216"/>
      <c r="B130" s="292" t="s">
        <v>43</v>
      </c>
      <c r="C130" s="8" t="s">
        <v>44</v>
      </c>
      <c r="D130" s="7"/>
      <c r="E130" s="6"/>
      <c r="F130" s="293"/>
      <c r="G130" s="331" t="s">
        <v>107</v>
      </c>
      <c r="H130" s="294" t="s">
        <v>108</v>
      </c>
      <c r="I130" s="294" t="s">
        <v>1069</v>
      </c>
      <c r="J130" s="295" t="s">
        <v>1060</v>
      </c>
      <c r="K130" s="216"/>
      <c r="L130" s="216"/>
      <c r="M130" s="216"/>
      <c r="N130" s="216"/>
      <c r="O130" s="216"/>
    </row>
    <row r="131" spans="1:15" ht="23.25" customHeight="1" x14ac:dyDescent="0.25">
      <c r="A131" s="216"/>
      <c r="B131" s="282"/>
      <c r="C131" s="5"/>
      <c r="D131" s="4"/>
      <c r="E131" s="4"/>
      <c r="F131" s="3"/>
      <c r="G131" s="258"/>
      <c r="H131" s="296"/>
      <c r="I131" s="260"/>
      <c r="J131" s="297">
        <f>H131*I131</f>
        <v>0</v>
      </c>
      <c r="K131" s="216"/>
      <c r="L131" s="216"/>
      <c r="M131" s="216"/>
      <c r="N131" s="216"/>
      <c r="O131" s="216"/>
    </row>
    <row r="132" spans="1:15" ht="23.25" customHeight="1" x14ac:dyDescent="0.25">
      <c r="A132" s="216"/>
      <c r="B132" s="282"/>
      <c r="C132" s="11"/>
      <c r="D132" s="10"/>
      <c r="E132" s="10"/>
      <c r="F132" s="9"/>
      <c r="G132" s="258"/>
      <c r="H132" s="259"/>
      <c r="I132" s="260"/>
      <c r="J132" s="283">
        <f>+G132*I132</f>
        <v>0</v>
      </c>
      <c r="K132" s="216"/>
      <c r="L132" s="216"/>
      <c r="M132" s="216"/>
      <c r="N132" s="216"/>
      <c r="O132" s="216"/>
    </row>
    <row r="133" spans="1:15" ht="23.25" customHeight="1" x14ac:dyDescent="0.25">
      <c r="A133" s="216"/>
      <c r="B133" s="282"/>
      <c r="C133" s="11"/>
      <c r="D133" s="10"/>
      <c r="E133" s="10"/>
      <c r="F133" s="9"/>
      <c r="G133" s="258"/>
      <c r="H133" s="259"/>
      <c r="I133" s="260"/>
      <c r="J133" s="283">
        <f>+G133*I133</f>
        <v>0</v>
      </c>
      <c r="K133" s="216"/>
      <c r="L133" s="216"/>
      <c r="M133" s="216"/>
      <c r="N133" s="216"/>
      <c r="O133" s="216"/>
    </row>
    <row r="134" spans="1:15" ht="23.25" customHeight="1" x14ac:dyDescent="0.25">
      <c r="A134" s="216"/>
      <c r="B134" s="282"/>
      <c r="C134" s="11"/>
      <c r="D134" s="10"/>
      <c r="E134" s="10"/>
      <c r="F134" s="9"/>
      <c r="G134" s="258"/>
      <c r="H134" s="259"/>
      <c r="I134" s="260"/>
      <c r="J134" s="283">
        <f>+G134*I134</f>
        <v>0</v>
      </c>
      <c r="K134" s="216"/>
      <c r="L134" s="216"/>
      <c r="M134" s="216"/>
      <c r="N134" s="216"/>
      <c r="O134" s="216"/>
    </row>
    <row r="135" spans="1:15" ht="23.25" customHeight="1" x14ac:dyDescent="0.25">
      <c r="A135" s="216"/>
      <c r="B135" s="284"/>
      <c r="C135" s="11"/>
      <c r="D135" s="10"/>
      <c r="E135" s="10"/>
      <c r="F135" s="9"/>
      <c r="G135" s="263"/>
      <c r="H135" s="264"/>
      <c r="I135" s="265"/>
      <c r="J135" s="285">
        <f>+G135*I135</f>
        <v>0</v>
      </c>
      <c r="K135" s="216"/>
      <c r="L135" s="216"/>
      <c r="M135" s="216"/>
      <c r="N135" s="216"/>
      <c r="O135" s="216"/>
    </row>
    <row r="136" spans="1:15" ht="23.25" customHeight="1" thickBot="1" x14ac:dyDescent="0.3">
      <c r="A136" s="216"/>
      <c r="B136" s="227"/>
      <c r="C136" s="228"/>
      <c r="D136" s="228"/>
      <c r="E136" s="228"/>
      <c r="F136" s="228"/>
      <c r="G136" s="228"/>
      <c r="H136" s="235"/>
      <c r="I136" s="298" t="s">
        <v>1061</v>
      </c>
      <c r="J136" s="288">
        <f>ROUND((SUM(J131:J135)),2)</f>
        <v>0</v>
      </c>
      <c r="K136" s="216"/>
      <c r="L136" s="332"/>
      <c r="M136" s="216"/>
      <c r="N136" s="216"/>
      <c r="O136" s="216"/>
    </row>
    <row r="137" spans="1:15" ht="23.25" customHeight="1" thickBot="1" x14ac:dyDescent="0.3">
      <c r="A137" s="216"/>
      <c r="B137" s="289" t="s">
        <v>1070</v>
      </c>
      <c r="C137" s="290"/>
      <c r="D137" s="228"/>
      <c r="E137" s="228"/>
      <c r="F137" s="228"/>
      <c r="G137" s="228"/>
      <c r="H137" s="235"/>
      <c r="I137" s="291"/>
      <c r="J137" s="240"/>
      <c r="K137" s="216"/>
      <c r="L137" s="216"/>
      <c r="M137" s="216"/>
      <c r="N137" s="216"/>
      <c r="O137" s="216"/>
    </row>
    <row r="138" spans="1:15" ht="23.25" customHeight="1" thickBot="1" x14ac:dyDescent="0.3">
      <c r="A138" s="216"/>
      <c r="B138" s="292" t="s">
        <v>43</v>
      </c>
      <c r="C138" s="8" t="s">
        <v>44</v>
      </c>
      <c r="D138" s="7"/>
      <c r="E138" s="6"/>
      <c r="F138" s="293"/>
      <c r="G138" s="294" t="s">
        <v>45</v>
      </c>
      <c r="H138" s="294" t="s">
        <v>109</v>
      </c>
      <c r="I138" s="294" t="s">
        <v>1059</v>
      </c>
      <c r="J138" s="295" t="s">
        <v>1060</v>
      </c>
      <c r="K138" s="216"/>
      <c r="L138" s="216"/>
      <c r="M138" s="216"/>
      <c r="N138" s="216"/>
      <c r="O138" s="216"/>
    </row>
    <row r="139" spans="1:15" ht="23.25" customHeight="1" x14ac:dyDescent="0.25">
      <c r="A139" s="216"/>
      <c r="B139" s="282" t="s">
        <v>71</v>
      </c>
      <c r="C139" s="5" t="str">
        <f>VLOOKUP(B139,CUADRILLAS!$B$4:$G$19,2,)</f>
        <v>CUADRILLA I (Oficial + ayudante)</v>
      </c>
      <c r="D139" s="4"/>
      <c r="E139" s="4"/>
      <c r="F139" s="3"/>
      <c r="G139" s="259" t="str">
        <f>VLOOKUP(B139,CUADRILLAS!$B$4:$G$19,5,FALSE)</f>
        <v>H</v>
      </c>
      <c r="H139" s="296">
        <f>VLOOKUP(B139,CUADRILLAS!$B$4:$G$19,6,FALSE)</f>
        <v>63785.417685</v>
      </c>
      <c r="I139" s="260">
        <v>0.45260003679830302</v>
      </c>
      <c r="J139" s="297">
        <f>H139*I139</f>
        <v>28869.282391426128</v>
      </c>
      <c r="K139" s="216"/>
      <c r="L139" s="216"/>
      <c r="M139" s="216"/>
      <c r="N139" s="216"/>
      <c r="O139" s="216"/>
    </row>
    <row r="140" spans="1:15" ht="23.25" customHeight="1" x14ac:dyDescent="0.25">
      <c r="A140" s="216"/>
      <c r="B140" s="284"/>
      <c r="C140" s="2"/>
      <c r="D140" s="1"/>
      <c r="E140" s="1"/>
      <c r="F140" s="15"/>
      <c r="G140" s="263"/>
      <c r="H140" s="264"/>
      <c r="I140" s="265"/>
      <c r="J140" s="285"/>
      <c r="K140" s="216"/>
      <c r="L140" s="332"/>
      <c r="M140" s="216"/>
      <c r="N140" s="216"/>
      <c r="O140" s="216"/>
    </row>
    <row r="141" spans="1:15" ht="23.25" customHeight="1" x14ac:dyDescent="0.25">
      <c r="A141" s="216"/>
      <c r="B141" s="284"/>
      <c r="C141" s="299"/>
      <c r="D141" s="300"/>
      <c r="E141" s="300"/>
      <c r="F141" s="301"/>
      <c r="G141" s="263"/>
      <c r="H141" s="264"/>
      <c r="I141" s="265"/>
      <c r="J141" s="285"/>
      <c r="K141" s="216"/>
      <c r="L141" s="216"/>
      <c r="M141" s="216"/>
      <c r="N141" s="216"/>
      <c r="O141" s="216"/>
    </row>
    <row r="142" spans="1:15" ht="23.25" customHeight="1" x14ac:dyDescent="0.25">
      <c r="A142" s="216"/>
      <c r="B142" s="284"/>
      <c r="C142" s="299"/>
      <c r="D142" s="300"/>
      <c r="E142" s="300"/>
      <c r="F142" s="301"/>
      <c r="G142" s="263"/>
      <c r="H142" s="264"/>
      <c r="I142" s="265"/>
      <c r="J142" s="285"/>
      <c r="K142" s="216"/>
      <c r="L142" s="216"/>
      <c r="M142" s="216"/>
      <c r="N142" s="216"/>
      <c r="O142" s="216"/>
    </row>
    <row r="143" spans="1:15" ht="23.25" customHeight="1" x14ac:dyDescent="0.25">
      <c r="A143" s="216"/>
      <c r="B143" s="284"/>
      <c r="C143" s="299"/>
      <c r="D143" s="300"/>
      <c r="E143" s="300"/>
      <c r="F143" s="301"/>
      <c r="G143" s="263"/>
      <c r="H143" s="264"/>
      <c r="I143" s="265"/>
      <c r="J143" s="285">
        <f>+H143*I143</f>
        <v>0</v>
      </c>
      <c r="K143" s="216"/>
      <c r="L143" s="216"/>
      <c r="M143" s="216"/>
      <c r="N143" s="216"/>
      <c r="O143" s="216"/>
    </row>
    <row r="144" spans="1:15" ht="23.25" customHeight="1" x14ac:dyDescent="0.25">
      <c r="A144" s="216"/>
      <c r="B144" s="227"/>
      <c r="C144" s="228"/>
      <c r="D144" s="228"/>
      <c r="E144" s="228"/>
      <c r="F144" s="228"/>
      <c r="G144" s="286"/>
      <c r="H144" s="235"/>
      <c r="I144" s="302" t="s">
        <v>1061</v>
      </c>
      <c r="J144" s="303">
        <f>SUM(J139:J143)</f>
        <v>28869.282391426128</v>
      </c>
      <c r="K144" s="216"/>
      <c r="L144" s="333"/>
      <c r="M144" s="216"/>
      <c r="N144" s="216"/>
      <c r="O144" s="216"/>
    </row>
    <row r="145" spans="1:13" ht="23.25" customHeight="1" thickBot="1" x14ac:dyDescent="0.3">
      <c r="A145" s="216"/>
      <c r="B145" s="227"/>
      <c r="C145" s="228"/>
      <c r="D145" s="228"/>
      <c r="E145" s="228"/>
      <c r="F145" s="228"/>
      <c r="G145" s="286"/>
      <c r="H145" s="235"/>
      <c r="I145" s="236"/>
      <c r="J145" s="240"/>
      <c r="K145" s="216"/>
      <c r="L145" s="216"/>
      <c r="M145" s="216"/>
    </row>
    <row r="146" spans="1:13" ht="23.25" customHeight="1" thickBot="1" x14ac:dyDescent="0.3">
      <c r="A146" s="216"/>
      <c r="B146" s="227"/>
      <c r="C146" s="228"/>
      <c r="D146" s="228"/>
      <c r="E146" s="228"/>
      <c r="F146" s="228"/>
      <c r="G146" s="14" t="s">
        <v>1071</v>
      </c>
      <c r="H146" s="13"/>
      <c r="I146" s="12"/>
      <c r="J146" s="304">
        <f>ROUND((SUM(J144+J136+J128+J121)),2)</f>
        <v>34259</v>
      </c>
      <c r="K146" s="216"/>
      <c r="L146" s="216">
        <v>34259</v>
      </c>
      <c r="M146" s="216"/>
    </row>
    <row r="147" spans="1:13" ht="23.25" customHeight="1" thickBot="1" x14ac:dyDescent="0.3">
      <c r="A147" s="216"/>
      <c r="B147" s="227"/>
      <c r="C147" s="228"/>
      <c r="D147" s="228"/>
      <c r="E147" s="228"/>
      <c r="F147" s="228"/>
      <c r="G147" s="394"/>
      <c r="H147" s="394"/>
      <c r="I147" s="305"/>
      <c r="J147" s="304"/>
      <c r="K147" s="216"/>
      <c r="L147" s="216"/>
      <c r="M147" s="216"/>
    </row>
    <row r="148" spans="1:13" ht="23.25" customHeight="1" thickBot="1" x14ac:dyDescent="0.3">
      <c r="A148" s="216"/>
      <c r="B148" s="227"/>
      <c r="C148" s="228"/>
      <c r="D148" s="228"/>
      <c r="E148" s="228"/>
      <c r="F148" s="228"/>
      <c r="G148" s="14" t="s">
        <v>1072</v>
      </c>
      <c r="H148" s="13"/>
      <c r="I148" s="12"/>
      <c r="J148" s="306">
        <f>+J146+J147</f>
        <v>34259</v>
      </c>
      <c r="K148" s="216"/>
      <c r="L148" s="216"/>
      <c r="M148" s="216"/>
    </row>
    <row r="149" spans="1:13" ht="21" customHeight="1" x14ac:dyDescent="0.25">
      <c r="A149" s="216"/>
      <c r="B149" s="307"/>
      <c r="C149" s="216"/>
      <c r="D149" s="216"/>
      <c r="E149" s="216"/>
      <c r="F149" s="216"/>
      <c r="G149" s="216"/>
      <c r="H149" s="216"/>
      <c r="I149" s="216"/>
      <c r="J149" s="308"/>
      <c r="K149" s="216"/>
      <c r="L149" s="216"/>
      <c r="M149" s="216"/>
    </row>
    <row r="150" spans="1:13" ht="21" customHeight="1" x14ac:dyDescent="0.25">
      <c r="A150" s="216"/>
      <c r="B150" s="307"/>
      <c r="C150" s="216"/>
      <c r="D150" s="216"/>
      <c r="E150" s="216"/>
      <c r="F150" s="216"/>
      <c r="G150" s="216"/>
      <c r="H150" s="216"/>
      <c r="I150" s="216"/>
      <c r="J150" s="308"/>
      <c r="K150" s="216"/>
      <c r="L150" s="216"/>
      <c r="M150" s="216"/>
    </row>
    <row r="151" spans="1:13" ht="21" customHeight="1" thickBot="1" x14ac:dyDescent="0.3">
      <c r="A151" s="216"/>
      <c r="B151" s="309"/>
      <c r="C151" s="310"/>
      <c r="D151" s="310"/>
      <c r="E151" s="310"/>
      <c r="F151" s="310"/>
      <c r="G151" s="310"/>
      <c r="H151" s="310"/>
      <c r="I151" s="310"/>
      <c r="J151" s="311"/>
      <c r="K151" s="216"/>
      <c r="L151" s="216"/>
      <c r="M151" s="216"/>
    </row>
    <row r="152" spans="1:13" ht="21" customHeight="1" thickBot="1" x14ac:dyDescent="0.3">
      <c r="A152" s="216"/>
      <c r="K152" s="216"/>
      <c r="L152" s="216"/>
      <c r="M152" s="216"/>
    </row>
    <row r="153" spans="1:13" ht="21" customHeight="1" x14ac:dyDescent="0.25">
      <c r="A153" s="216"/>
      <c r="B153" s="458"/>
      <c r="C153" s="459"/>
      <c r="D153" s="461" t="s">
        <v>1052</v>
      </c>
      <c r="E153" s="462"/>
      <c r="F153" s="462"/>
      <c r="G153" s="462"/>
      <c r="H153" s="463"/>
      <c r="I153" s="464"/>
      <c r="J153" s="465"/>
      <c r="K153" s="216"/>
      <c r="L153" s="216"/>
      <c r="M153" s="216"/>
    </row>
    <row r="154" spans="1:13" ht="15.75" customHeight="1" thickBot="1" x14ac:dyDescent="0.3">
      <c r="A154" s="216"/>
      <c r="B154" s="460"/>
      <c r="C154" s="422"/>
      <c r="D154" s="426"/>
      <c r="E154" s="427"/>
      <c r="F154" s="427"/>
      <c r="G154" s="427"/>
      <c r="H154" s="428"/>
      <c r="I154" s="431"/>
      <c r="J154" s="466"/>
      <c r="K154" s="216"/>
      <c r="L154" s="216"/>
      <c r="M154" s="216"/>
    </row>
    <row r="155" spans="1:13" ht="15.75" customHeight="1" thickBot="1" x14ac:dyDescent="0.3">
      <c r="A155" s="216"/>
      <c r="B155" s="218"/>
      <c r="C155" s="219"/>
      <c r="D155" s="219"/>
      <c r="E155" s="219"/>
      <c r="F155" s="219"/>
      <c r="G155" s="219"/>
      <c r="H155" s="219"/>
      <c r="I155" s="219"/>
      <c r="J155" s="220"/>
      <c r="K155" s="216"/>
      <c r="L155" s="216"/>
      <c r="M155" s="216"/>
    </row>
    <row r="156" spans="1:13" ht="15.75" customHeight="1" thickBot="1" x14ac:dyDescent="0.3">
      <c r="A156" s="216"/>
      <c r="B156" s="433" t="s">
        <v>1053</v>
      </c>
      <c r="C156" s="434"/>
      <c r="D156" s="222"/>
      <c r="E156" s="223" t="s">
        <v>171</v>
      </c>
      <c r="F156" s="222">
        <v>30</v>
      </c>
      <c r="G156" s="222" t="s">
        <v>462</v>
      </c>
      <c r="H156" s="223">
        <v>4</v>
      </c>
      <c r="I156" s="224" t="s">
        <v>1054</v>
      </c>
      <c r="J156" s="225">
        <v>2026</v>
      </c>
      <c r="K156" s="216"/>
      <c r="L156" s="216"/>
      <c r="M156" s="216"/>
    </row>
    <row r="157" spans="1:13" s="214" customFormat="1" ht="12.75" customHeight="1" thickBot="1" x14ac:dyDescent="0.3">
      <c r="A157" s="312"/>
      <c r="B157" s="227"/>
      <c r="C157" s="228"/>
      <c r="D157" s="228"/>
      <c r="E157" s="228"/>
      <c r="F157" s="228"/>
      <c r="G157" s="228"/>
      <c r="H157" s="228"/>
      <c r="I157" s="228"/>
      <c r="J157" s="229"/>
      <c r="K157" s="312"/>
      <c r="L157" s="312"/>
      <c r="M157" s="312"/>
    </row>
    <row r="158" spans="1:13" ht="15.75" customHeight="1" x14ac:dyDescent="0.25">
      <c r="A158" s="216"/>
      <c r="B158" s="451" t="s">
        <v>1055</v>
      </c>
      <c r="C158" s="436"/>
      <c r="D158" s="441" t="s">
        <v>1110</v>
      </c>
      <c r="E158" s="442"/>
      <c r="F158" s="442"/>
      <c r="G158" s="442"/>
      <c r="H158" s="442"/>
      <c r="I158" s="442"/>
      <c r="J158" s="454"/>
      <c r="K158" s="216"/>
      <c r="L158" s="216"/>
      <c r="M158" s="216"/>
    </row>
    <row r="159" spans="1:13" x14ac:dyDescent="0.25">
      <c r="B159" s="452"/>
      <c r="C159" s="438"/>
      <c r="D159" s="444"/>
      <c r="E159" s="445"/>
      <c r="F159" s="445"/>
      <c r="G159" s="445"/>
      <c r="H159" s="445"/>
      <c r="I159" s="445"/>
      <c r="J159" s="455"/>
    </row>
    <row r="160" spans="1:13" ht="21.75" customHeight="1" thickBot="1" x14ac:dyDescent="0.3">
      <c r="B160" s="453"/>
      <c r="C160" s="440"/>
      <c r="D160" s="447"/>
      <c r="E160" s="448"/>
      <c r="F160" s="448"/>
      <c r="G160" s="448"/>
      <c r="H160" s="448"/>
      <c r="I160" s="448"/>
      <c r="J160" s="456"/>
    </row>
    <row r="161" spans="2:10" ht="16.5" thickBot="1" x14ac:dyDescent="0.3">
      <c r="B161" s="433"/>
      <c r="C161" s="405"/>
      <c r="D161" s="405"/>
      <c r="E161" s="405"/>
      <c r="F161" s="405"/>
      <c r="G161" s="405"/>
      <c r="H161" s="405"/>
      <c r="I161" s="405"/>
      <c r="J161" s="457"/>
    </row>
    <row r="162" spans="2:10" ht="26.25" customHeight="1" thickBot="1" x14ac:dyDescent="0.3">
      <c r="B162" s="231" t="s">
        <v>1056</v>
      </c>
      <c r="C162" s="232">
        <v>2.1</v>
      </c>
      <c r="D162" s="407" t="str">
        <f>'ppto oficial '!B10</f>
        <v xml:space="preserve">Reparacion de humedad en superficie incluye escarificacion , antihongo </v>
      </c>
      <c r="E162" s="408"/>
      <c r="F162" s="408"/>
      <c r="G162" s="408"/>
      <c r="H162" s="409"/>
      <c r="I162" s="232" t="s">
        <v>1057</v>
      </c>
      <c r="J162" s="233" t="str">
        <f>VLOOKUP(C162,'ppto oficial '!$A$5:$D$30,3,FALSE)</f>
        <v>m2</v>
      </c>
    </row>
    <row r="163" spans="2:10" ht="15.75" thickBot="1" x14ac:dyDescent="0.3">
      <c r="B163" s="227"/>
      <c r="C163" s="228"/>
      <c r="D163" s="228"/>
      <c r="E163" s="228"/>
      <c r="F163" s="228"/>
      <c r="G163" s="228"/>
      <c r="H163" s="235"/>
      <c r="I163" s="236"/>
      <c r="J163" s="237"/>
    </row>
    <row r="164" spans="2:10" ht="16.5" thickBot="1" x14ac:dyDescent="0.3">
      <c r="B164" s="238" t="s">
        <v>1058</v>
      </c>
      <c r="C164" s="239"/>
      <c r="D164" s="228"/>
      <c r="E164" s="228"/>
      <c r="F164" s="228"/>
      <c r="G164" s="228"/>
      <c r="H164" s="235"/>
      <c r="I164" s="236"/>
      <c r="J164" s="240"/>
    </row>
    <row r="165" spans="2:10" ht="16.5" thickBot="1" x14ac:dyDescent="0.3">
      <c r="B165" s="318" t="s">
        <v>43</v>
      </c>
      <c r="C165" s="410" t="s">
        <v>2</v>
      </c>
      <c r="D165" s="411"/>
      <c r="E165" s="412"/>
      <c r="F165" s="319"/>
      <c r="G165" s="320" t="s">
        <v>105</v>
      </c>
      <c r="H165" s="320" t="s">
        <v>106</v>
      </c>
      <c r="I165" s="320" t="s">
        <v>1059</v>
      </c>
      <c r="J165" s="321" t="s">
        <v>1060</v>
      </c>
    </row>
    <row r="166" spans="2:10" ht="15" x14ac:dyDescent="0.25">
      <c r="B166" s="282" t="s">
        <v>113</v>
      </c>
      <c r="C166" s="413" t="s">
        <v>114</v>
      </c>
      <c r="D166" s="414"/>
      <c r="E166" s="414"/>
      <c r="F166" s="415"/>
      <c r="G166" s="251" t="s">
        <v>1073</v>
      </c>
      <c r="H166" s="252">
        <f>+J188</f>
        <v>29157.466312543704</v>
      </c>
      <c r="I166" s="314">
        <v>0.05</v>
      </c>
      <c r="J166" s="315">
        <v>365.85710977962196</v>
      </c>
    </row>
    <row r="167" spans="2:10" ht="15" customHeight="1" x14ac:dyDescent="0.25">
      <c r="B167" s="262" t="s">
        <v>169</v>
      </c>
      <c r="C167" s="416" t="str">
        <f>VLOOKUP(B167,INSUMOS!$K$4:$N$135,2,FALSE)</f>
        <v xml:space="preserve">Andamio certificado x modulo </v>
      </c>
      <c r="D167" s="417"/>
      <c r="E167" s="417"/>
      <c r="F167" s="418"/>
      <c r="G167" s="251" t="str">
        <f>VLOOKUP(B167,INSUMOS!$K$4:$N$135,3,FALSE)</f>
        <v>DIA</v>
      </c>
      <c r="H167" s="252">
        <f>VLOOKUP(B167,INSUMOS!$K$4:$N$135,4,FALSE)</f>
        <v>12000</v>
      </c>
      <c r="I167" s="322">
        <f>+I188/8</f>
        <v>5.7139757351233264E-2</v>
      </c>
      <c r="J167" s="323">
        <f>+H167*I167</f>
        <v>685.67708821479914</v>
      </c>
    </row>
    <row r="168" spans="2:10" ht="15" x14ac:dyDescent="0.25">
      <c r="B168" s="262"/>
      <c r="C168" s="398"/>
      <c r="D168" s="399"/>
      <c r="E168" s="399"/>
      <c r="F168" s="400"/>
      <c r="G168" s="263"/>
      <c r="H168" s="259"/>
      <c r="J168" s="324"/>
    </row>
    <row r="169" spans="2:10" ht="15" x14ac:dyDescent="0.25">
      <c r="B169" s="262"/>
      <c r="C169" s="11"/>
      <c r="D169" s="10"/>
      <c r="E169" s="10"/>
      <c r="F169" s="9"/>
      <c r="G169" s="263"/>
      <c r="H169" s="264"/>
      <c r="I169" s="260"/>
      <c r="J169" s="261"/>
    </row>
    <row r="170" spans="2:10" ht="15" x14ac:dyDescent="0.25">
      <c r="B170" s="262"/>
      <c r="C170" s="11"/>
      <c r="D170" s="10"/>
      <c r="E170" s="10"/>
      <c r="F170" s="9"/>
      <c r="G170" s="263"/>
      <c r="H170" s="264"/>
      <c r="I170" s="265"/>
      <c r="J170" s="261"/>
    </row>
    <row r="171" spans="2:10" ht="16.5" thickBot="1" x14ac:dyDescent="0.3">
      <c r="B171" s="266"/>
      <c r="C171" s="228"/>
      <c r="D171" s="267"/>
      <c r="E171" s="267"/>
      <c r="F171" s="267"/>
      <c r="G171" s="268"/>
      <c r="H171" s="269"/>
      <c r="I171" s="270" t="s">
        <v>1061</v>
      </c>
      <c r="J171" s="271">
        <f>ROUND((SUM(J166:J170)),2)</f>
        <v>1051.53</v>
      </c>
    </row>
    <row r="172" spans="2:10" ht="16.5" thickBot="1" x14ac:dyDescent="0.3">
      <c r="B172" s="272" t="s">
        <v>1062</v>
      </c>
      <c r="C172" s="273"/>
      <c r="D172" s="274"/>
      <c r="E172" s="274"/>
      <c r="F172" s="274"/>
      <c r="G172" s="274"/>
      <c r="H172" s="275"/>
      <c r="I172" s="276"/>
      <c r="J172" s="277"/>
    </row>
    <row r="173" spans="2:10" ht="16.5" thickBot="1" x14ac:dyDescent="0.3">
      <c r="B173" s="278" t="s">
        <v>43</v>
      </c>
      <c r="C173" s="401" t="s">
        <v>44</v>
      </c>
      <c r="D173" s="402"/>
      <c r="E173" s="403"/>
      <c r="F173" s="279"/>
      <c r="G173" s="280" t="s">
        <v>45</v>
      </c>
      <c r="H173" s="280" t="s">
        <v>109</v>
      </c>
      <c r="I173" s="280" t="s">
        <v>4</v>
      </c>
      <c r="J173" s="281" t="s">
        <v>1060</v>
      </c>
    </row>
    <row r="174" spans="2:10" ht="15" x14ac:dyDescent="0.25">
      <c r="B174" s="284" t="s">
        <v>971</v>
      </c>
      <c r="C174" s="11" t="s">
        <v>1078</v>
      </c>
      <c r="D174" s="10"/>
      <c r="E174" s="10"/>
      <c r="F174" s="9"/>
      <c r="G174" s="263" t="s">
        <v>1077</v>
      </c>
      <c r="H174" s="264">
        <v>14000</v>
      </c>
      <c r="I174" s="265">
        <v>0.4</v>
      </c>
      <c r="J174" s="283">
        <f>+I174*H174</f>
        <v>5600</v>
      </c>
    </row>
    <row r="175" spans="2:10" ht="15" x14ac:dyDescent="0.25">
      <c r="B175" s="284"/>
      <c r="C175" s="11"/>
      <c r="D175" s="10"/>
      <c r="E175" s="10"/>
      <c r="F175" s="9"/>
      <c r="G175" s="263"/>
      <c r="H175" s="264"/>
      <c r="I175" s="265"/>
      <c r="J175" s="283"/>
    </row>
    <row r="176" spans="2:10" ht="15" x14ac:dyDescent="0.25">
      <c r="B176" s="284"/>
      <c r="C176" s="11"/>
      <c r="D176" s="10"/>
      <c r="E176" s="10"/>
      <c r="F176" s="9"/>
      <c r="G176" s="263"/>
      <c r="H176" s="264"/>
      <c r="I176" s="265"/>
      <c r="J176" s="283"/>
    </row>
    <row r="177" spans="2:10" ht="16.5" thickBot="1" x14ac:dyDescent="0.3">
      <c r="B177" s="227"/>
      <c r="C177" s="228"/>
      <c r="D177" s="228"/>
      <c r="E177" s="228"/>
      <c r="F177" s="228"/>
      <c r="G177" s="286"/>
      <c r="H177" s="287"/>
      <c r="I177" s="270" t="s">
        <v>1061</v>
      </c>
      <c r="J177" s="288">
        <f>ROUND((SUM(J174:J176)),2)</f>
        <v>5600</v>
      </c>
    </row>
    <row r="178" spans="2:10" ht="16.5" thickBot="1" x14ac:dyDescent="0.3">
      <c r="B178" s="289" t="s">
        <v>1068</v>
      </c>
      <c r="C178" s="290"/>
      <c r="D178" s="228"/>
      <c r="E178" s="228"/>
      <c r="F178" s="228"/>
      <c r="G178" s="228"/>
      <c r="H178" s="235"/>
      <c r="I178" s="291"/>
      <c r="J178" s="240"/>
    </row>
    <row r="179" spans="2:10" ht="16.5" thickBot="1" x14ac:dyDescent="0.3">
      <c r="B179" s="292" t="s">
        <v>43</v>
      </c>
      <c r="C179" s="8" t="s">
        <v>44</v>
      </c>
      <c r="D179" s="7"/>
      <c r="E179" s="6"/>
      <c r="F179" s="293"/>
      <c r="G179" s="331" t="s">
        <v>107</v>
      </c>
      <c r="H179" s="294" t="s">
        <v>108</v>
      </c>
      <c r="I179" s="294" t="s">
        <v>1069</v>
      </c>
      <c r="J179" s="295" t="s">
        <v>1060</v>
      </c>
    </row>
    <row r="180" spans="2:10" ht="15" x14ac:dyDescent="0.25">
      <c r="B180" s="282"/>
      <c r="C180" s="5"/>
      <c r="D180" s="4"/>
      <c r="E180" s="4"/>
      <c r="F180" s="3"/>
      <c r="G180" s="258"/>
      <c r="H180" s="296"/>
      <c r="I180" s="260"/>
      <c r="J180" s="297">
        <f>H180*I180</f>
        <v>0</v>
      </c>
    </row>
    <row r="181" spans="2:10" ht="15" x14ac:dyDescent="0.25">
      <c r="B181" s="282"/>
      <c r="C181" s="11"/>
      <c r="D181" s="10"/>
      <c r="E181" s="10"/>
      <c r="F181" s="9"/>
      <c r="G181" s="258"/>
      <c r="H181" s="259"/>
      <c r="I181" s="260"/>
      <c r="J181" s="283">
        <f>+G181*I181</f>
        <v>0</v>
      </c>
    </row>
    <row r="182" spans="2:10" ht="15" x14ac:dyDescent="0.25">
      <c r="B182" s="282"/>
      <c r="C182" s="11"/>
      <c r="D182" s="10"/>
      <c r="E182" s="10"/>
      <c r="F182" s="9"/>
      <c r="G182" s="258"/>
      <c r="H182" s="259"/>
      <c r="I182" s="260"/>
      <c r="J182" s="283">
        <f>+G182*I182</f>
        <v>0</v>
      </c>
    </row>
    <row r="183" spans="2:10" ht="15" x14ac:dyDescent="0.25">
      <c r="B183" s="282"/>
      <c r="C183" s="11"/>
      <c r="D183" s="10"/>
      <c r="E183" s="10"/>
      <c r="F183" s="9"/>
      <c r="G183" s="258"/>
      <c r="H183" s="259"/>
      <c r="I183" s="260"/>
      <c r="J183" s="283">
        <f>+G183*I183</f>
        <v>0</v>
      </c>
    </row>
    <row r="184" spans="2:10" ht="15" x14ac:dyDescent="0.25">
      <c r="B184" s="284"/>
      <c r="C184" s="11"/>
      <c r="D184" s="10"/>
      <c r="E184" s="10"/>
      <c r="F184" s="9"/>
      <c r="G184" s="263"/>
      <c r="H184" s="264"/>
      <c r="I184" s="265"/>
      <c r="J184" s="285">
        <f>+G184*I184</f>
        <v>0</v>
      </c>
    </row>
    <row r="185" spans="2:10" ht="16.5" thickBot="1" x14ac:dyDescent="0.3">
      <c r="B185" s="227"/>
      <c r="C185" s="228"/>
      <c r="D185" s="228"/>
      <c r="E185" s="228"/>
      <c r="F185" s="228"/>
      <c r="G185" s="228"/>
      <c r="H185" s="235"/>
      <c r="I185" s="298" t="s">
        <v>1061</v>
      </c>
      <c r="J185" s="288">
        <f>ROUND((SUM(J180:J184)),2)</f>
        <v>0</v>
      </c>
    </row>
    <row r="186" spans="2:10" ht="16.5" thickBot="1" x14ac:dyDescent="0.3">
      <c r="B186" s="289" t="s">
        <v>1070</v>
      </c>
      <c r="C186" s="290"/>
      <c r="D186" s="228"/>
      <c r="E186" s="228"/>
      <c r="F186" s="228"/>
      <c r="G186" s="228"/>
      <c r="H186" s="235"/>
      <c r="I186" s="291"/>
      <c r="J186" s="240"/>
    </row>
    <row r="187" spans="2:10" ht="16.5" thickBot="1" x14ac:dyDescent="0.3">
      <c r="B187" s="292" t="s">
        <v>43</v>
      </c>
      <c r="C187" s="8" t="s">
        <v>44</v>
      </c>
      <c r="D187" s="7"/>
      <c r="E187" s="6"/>
      <c r="F187" s="293"/>
      <c r="G187" s="294" t="s">
        <v>45</v>
      </c>
      <c r="H187" s="294" t="s">
        <v>109</v>
      </c>
      <c r="I187" s="294" t="s">
        <v>1059</v>
      </c>
      <c r="J187" s="295" t="s">
        <v>1060</v>
      </c>
    </row>
    <row r="188" spans="2:10" ht="15" customHeight="1" x14ac:dyDescent="0.25">
      <c r="B188" s="282" t="s">
        <v>71</v>
      </c>
      <c r="C188" s="5" t="str">
        <f>VLOOKUP(B188,CUADRILLAS!$B$4:$G$19,2,)</f>
        <v>CUADRILLA I (Oficial + ayudante)</v>
      </c>
      <c r="D188" s="4"/>
      <c r="E188" s="4"/>
      <c r="F188" s="3"/>
      <c r="G188" s="259" t="str">
        <f>VLOOKUP(B188,CUADRILLAS!$B$4:$G$19,5,FALSE)</f>
        <v>H</v>
      </c>
      <c r="H188" s="296">
        <f>VLOOKUP(B188,CUADRILLAS!$B$4:$G$19,6,FALSE)</f>
        <v>63785.417685</v>
      </c>
      <c r="I188" s="260">
        <v>0.45711805880986611</v>
      </c>
      <c r="J188" s="297">
        <f>H188*I188</f>
        <v>29157.466312543704</v>
      </c>
    </row>
    <row r="189" spans="2:10" ht="15" x14ac:dyDescent="0.25">
      <c r="B189" s="284"/>
      <c r="C189" s="2"/>
      <c r="D189" s="1"/>
      <c r="E189" s="1"/>
      <c r="F189" s="15"/>
      <c r="G189" s="263"/>
      <c r="H189" s="264"/>
      <c r="I189" s="265"/>
      <c r="J189" s="285"/>
    </row>
    <row r="190" spans="2:10" ht="15" x14ac:dyDescent="0.25">
      <c r="B190" s="284"/>
      <c r="C190" s="299"/>
      <c r="D190" s="300"/>
      <c r="E190" s="300"/>
      <c r="F190" s="301"/>
      <c r="G190" s="263"/>
      <c r="H190" s="264"/>
      <c r="I190" s="265"/>
      <c r="J190" s="285"/>
    </row>
    <row r="191" spans="2:10" ht="15" x14ac:dyDescent="0.25">
      <c r="B191" s="284"/>
      <c r="C191" s="299"/>
      <c r="D191" s="300"/>
      <c r="E191" s="300"/>
      <c r="F191" s="301"/>
      <c r="G191" s="263"/>
      <c r="H191" s="264"/>
      <c r="I191" s="265"/>
      <c r="J191" s="285"/>
    </row>
    <row r="192" spans="2:10" ht="15" x14ac:dyDescent="0.25">
      <c r="B192" s="284"/>
      <c r="C192" s="299"/>
      <c r="D192" s="300"/>
      <c r="E192" s="300"/>
      <c r="F192" s="301"/>
      <c r="G192" s="263"/>
      <c r="H192" s="264"/>
      <c r="I192" s="265"/>
      <c r="J192" s="285">
        <f>+H192*I192</f>
        <v>0</v>
      </c>
    </row>
    <row r="193" spans="2:12" ht="15.75" x14ac:dyDescent="0.25">
      <c r="B193" s="227"/>
      <c r="C193" s="228"/>
      <c r="D193" s="228"/>
      <c r="E193" s="228"/>
      <c r="F193" s="228"/>
      <c r="G193" s="286"/>
      <c r="H193" s="235"/>
      <c r="I193" s="302" t="s">
        <v>1061</v>
      </c>
      <c r="J193" s="303">
        <f>SUM(J188:J192)</f>
        <v>29157.466312543704</v>
      </c>
    </row>
    <row r="194" spans="2:12" ht="15.75" thickBot="1" x14ac:dyDescent="0.3">
      <c r="B194" s="227"/>
      <c r="C194" s="228"/>
      <c r="D194" s="228"/>
      <c r="E194" s="228"/>
      <c r="F194" s="228"/>
      <c r="G194" s="286"/>
      <c r="H194" s="235"/>
      <c r="I194" s="236"/>
      <c r="J194" s="240"/>
    </row>
    <row r="195" spans="2:12" ht="16.5" thickBot="1" x14ac:dyDescent="0.3">
      <c r="B195" s="227"/>
      <c r="C195" s="228"/>
      <c r="D195" s="228"/>
      <c r="E195" s="228"/>
      <c r="F195" s="228"/>
      <c r="G195" s="14" t="s">
        <v>1071</v>
      </c>
      <c r="H195" s="13"/>
      <c r="I195" s="12"/>
      <c r="J195" s="304">
        <f>ROUND((SUM(J193+J185+J177+J171)),2)</f>
        <v>35809</v>
      </c>
      <c r="L195" s="95">
        <v>35809</v>
      </c>
    </row>
    <row r="196" spans="2:12" ht="16.5" thickBot="1" x14ac:dyDescent="0.3">
      <c r="B196" s="227"/>
      <c r="C196" s="228"/>
      <c r="D196" s="228"/>
      <c r="E196" s="228"/>
      <c r="F196" s="228"/>
      <c r="G196" s="394"/>
      <c r="H196" s="394"/>
      <c r="I196" s="305"/>
      <c r="J196" s="304"/>
    </row>
    <row r="197" spans="2:12" ht="16.5" thickBot="1" x14ac:dyDescent="0.3">
      <c r="B197" s="227"/>
      <c r="C197" s="228"/>
      <c r="D197" s="228"/>
      <c r="E197" s="228"/>
      <c r="F197" s="228"/>
      <c r="G197" s="14" t="s">
        <v>1072</v>
      </c>
      <c r="H197" s="13"/>
      <c r="I197" s="12"/>
      <c r="J197" s="306">
        <f>+J195+J196</f>
        <v>35809</v>
      </c>
    </row>
    <row r="198" spans="2:12" x14ac:dyDescent="0.25">
      <c r="B198" s="307"/>
      <c r="C198" s="216"/>
      <c r="D198" s="216"/>
      <c r="E198" s="216"/>
      <c r="F198" s="216"/>
      <c r="G198" s="216"/>
      <c r="H198" s="216"/>
      <c r="I198" s="216"/>
      <c r="J198" s="308"/>
    </row>
    <row r="199" spans="2:12" x14ac:dyDescent="0.25">
      <c r="B199" s="307"/>
      <c r="C199" s="216"/>
      <c r="D199" s="216"/>
      <c r="E199" s="216"/>
      <c r="F199" s="216"/>
      <c r="G199" s="216"/>
      <c r="H199" s="216"/>
      <c r="I199" s="216"/>
      <c r="J199" s="308"/>
    </row>
    <row r="200" spans="2:12" ht="14.25" thickBot="1" x14ac:dyDescent="0.3">
      <c r="B200" s="309"/>
      <c r="C200" s="310"/>
      <c r="D200" s="310"/>
      <c r="E200" s="310"/>
      <c r="F200" s="310"/>
      <c r="G200" s="310"/>
      <c r="H200" s="310"/>
      <c r="I200" s="310"/>
      <c r="J200" s="311"/>
    </row>
    <row r="201" spans="2:12" ht="14.25" thickBot="1" x14ac:dyDescent="0.3"/>
    <row r="202" spans="2:12" x14ac:dyDescent="0.25">
      <c r="B202" s="458"/>
      <c r="C202" s="459"/>
      <c r="D202" s="461" t="s">
        <v>1052</v>
      </c>
      <c r="E202" s="462"/>
      <c r="F202" s="462"/>
      <c r="G202" s="462"/>
      <c r="H202" s="463"/>
      <c r="I202" s="464"/>
      <c r="J202" s="465"/>
    </row>
    <row r="203" spans="2:12" ht="32.25" customHeight="1" thickBot="1" x14ac:dyDescent="0.3">
      <c r="B203" s="460"/>
      <c r="C203" s="422"/>
      <c r="D203" s="426"/>
      <c r="E203" s="427"/>
      <c r="F203" s="427"/>
      <c r="G203" s="427"/>
      <c r="H203" s="428"/>
      <c r="I203" s="431"/>
      <c r="J203" s="466"/>
    </row>
    <row r="204" spans="2:12" ht="16.5" thickBot="1" x14ac:dyDescent="0.3">
      <c r="B204" s="218"/>
      <c r="C204" s="219"/>
      <c r="D204" s="219"/>
      <c r="E204" s="219"/>
      <c r="F204" s="219"/>
      <c r="G204" s="219"/>
      <c r="H204" s="219"/>
      <c r="I204" s="219"/>
      <c r="J204" s="220"/>
    </row>
    <row r="205" spans="2:12" ht="16.5" thickBot="1" x14ac:dyDescent="0.3">
      <c r="B205" s="433" t="s">
        <v>1053</v>
      </c>
      <c r="C205" s="434"/>
      <c r="D205" s="222"/>
      <c r="E205" s="223" t="s">
        <v>171</v>
      </c>
      <c r="F205" s="222">
        <v>30</v>
      </c>
      <c r="G205" s="222" t="s">
        <v>462</v>
      </c>
      <c r="H205" s="223">
        <v>4</v>
      </c>
      <c r="I205" s="224" t="s">
        <v>1054</v>
      </c>
      <c r="J205" s="225">
        <v>2026</v>
      </c>
    </row>
    <row r="206" spans="2:12" ht="15.75" thickBot="1" x14ac:dyDescent="0.3">
      <c r="B206" s="227"/>
      <c r="C206" s="228"/>
      <c r="D206" s="228"/>
      <c r="E206" s="228"/>
      <c r="F206" s="228"/>
      <c r="G206" s="228"/>
      <c r="H206" s="228"/>
      <c r="I206" s="228"/>
      <c r="J206" s="229"/>
    </row>
    <row r="207" spans="2:12" x14ac:dyDescent="0.25">
      <c r="B207" s="451" t="s">
        <v>1055</v>
      </c>
      <c r="C207" s="436"/>
      <c r="D207" s="441" t="s">
        <v>1110</v>
      </c>
      <c r="E207" s="442"/>
      <c r="F207" s="442"/>
      <c r="G207" s="442"/>
      <c r="H207" s="442"/>
      <c r="I207" s="442"/>
      <c r="J207" s="454"/>
    </row>
    <row r="208" spans="2:12" x14ac:dyDescent="0.25">
      <c r="B208" s="452"/>
      <c r="C208" s="438"/>
      <c r="D208" s="444"/>
      <c r="E208" s="445"/>
      <c r="F208" s="445"/>
      <c r="G208" s="445"/>
      <c r="H208" s="445"/>
      <c r="I208" s="445"/>
      <c r="J208" s="455"/>
    </row>
    <row r="209" spans="2:10" ht="27" customHeight="1" thickBot="1" x14ac:dyDescent="0.3">
      <c r="B209" s="453"/>
      <c r="C209" s="440"/>
      <c r="D209" s="447"/>
      <c r="E209" s="448"/>
      <c r="F209" s="448"/>
      <c r="G209" s="448"/>
      <c r="H209" s="448"/>
      <c r="I209" s="448"/>
      <c r="J209" s="456"/>
    </row>
    <row r="210" spans="2:10" ht="16.5" thickBot="1" x14ac:dyDescent="0.3">
      <c r="B210" s="433"/>
      <c r="C210" s="405"/>
      <c r="D210" s="405"/>
      <c r="E210" s="405"/>
      <c r="F210" s="405"/>
      <c r="G210" s="405"/>
      <c r="H210" s="405"/>
      <c r="I210" s="405"/>
      <c r="J210" s="457"/>
    </row>
    <row r="211" spans="2:10" ht="34.9" customHeight="1" thickBot="1" x14ac:dyDescent="0.3">
      <c r="B211" s="231" t="s">
        <v>1056</v>
      </c>
      <c r="C211" s="232">
        <v>2.2000000000000002</v>
      </c>
      <c r="D211" s="407" t="str">
        <f>'ppto oficial '!B11</f>
        <v>Reparacion de marcos de ventaneria metalica (Incluye rectificación, lijado, pintura anticorrosiva y lacado).</v>
      </c>
      <c r="E211" s="408"/>
      <c r="F211" s="408"/>
      <c r="G211" s="408"/>
      <c r="H211" s="409"/>
      <c r="I211" s="232" t="s">
        <v>1057</v>
      </c>
      <c r="J211" s="233" t="str">
        <f>VLOOKUP(C211,'ppto oficial '!$A$5:$D$30,3,FALSE)</f>
        <v>m2</v>
      </c>
    </row>
    <row r="212" spans="2:10" ht="15.75" thickBot="1" x14ac:dyDescent="0.3">
      <c r="B212" s="227"/>
      <c r="C212" s="228"/>
      <c r="D212" s="228"/>
      <c r="E212" s="228"/>
      <c r="F212" s="228"/>
      <c r="G212" s="228"/>
      <c r="H212" s="235"/>
      <c r="I212" s="236"/>
      <c r="J212" s="237"/>
    </row>
    <row r="213" spans="2:10" ht="16.5" thickBot="1" x14ac:dyDescent="0.3">
      <c r="B213" s="238" t="s">
        <v>1058</v>
      </c>
      <c r="C213" s="239"/>
      <c r="D213" s="228"/>
      <c r="E213" s="228"/>
      <c r="F213" s="228"/>
      <c r="G213" s="228"/>
      <c r="H213" s="235"/>
      <c r="I213" s="236"/>
      <c r="J213" s="240"/>
    </row>
    <row r="214" spans="2:10" ht="16.5" thickBot="1" x14ac:dyDescent="0.3">
      <c r="B214" s="318" t="s">
        <v>43</v>
      </c>
      <c r="C214" s="410" t="s">
        <v>2</v>
      </c>
      <c r="D214" s="411"/>
      <c r="E214" s="412"/>
      <c r="F214" s="319"/>
      <c r="G214" s="320" t="s">
        <v>105</v>
      </c>
      <c r="H214" s="320" t="s">
        <v>106</v>
      </c>
      <c r="I214" s="320" t="s">
        <v>1059</v>
      </c>
      <c r="J214" s="321" t="s">
        <v>1060</v>
      </c>
    </row>
    <row r="215" spans="2:10" ht="15" x14ac:dyDescent="0.25">
      <c r="B215" s="282" t="s">
        <v>113</v>
      </c>
      <c r="C215" s="413" t="s">
        <v>114</v>
      </c>
      <c r="D215" s="414"/>
      <c r="E215" s="414"/>
      <c r="F215" s="415"/>
      <c r="G215" s="251" t="s">
        <v>1073</v>
      </c>
      <c r="H215" s="252">
        <f>+J238</f>
        <v>19760.448930149822</v>
      </c>
      <c r="I215" s="314">
        <v>0.05</v>
      </c>
      <c r="J215" s="315">
        <v>365.85710977962196</v>
      </c>
    </row>
    <row r="216" spans="2:10" ht="15" customHeight="1" x14ac:dyDescent="0.25">
      <c r="B216" s="262" t="s">
        <v>169</v>
      </c>
      <c r="C216" s="416" t="str">
        <f>VLOOKUP(B216,INSUMOS!$K$4:$N$135,2,FALSE)</f>
        <v xml:space="preserve">Andamio certificado x modulo </v>
      </c>
      <c r="D216" s="417"/>
      <c r="E216" s="417"/>
      <c r="F216" s="418"/>
      <c r="G216" s="251" t="str">
        <f>VLOOKUP(B216,INSUMOS!$K$4:$N$135,3,FALSE)</f>
        <v>DIA</v>
      </c>
      <c r="H216" s="252">
        <f>VLOOKUP(B216,INSUMOS!$K$4:$N$135,4,FALSE)</f>
        <v>12000</v>
      </c>
      <c r="I216" s="322">
        <f>+I238/8</f>
        <v>3.872446408467424E-2</v>
      </c>
      <c r="J216" s="323">
        <f>+H216*I216</f>
        <v>464.69356901609086</v>
      </c>
    </row>
    <row r="217" spans="2:10" ht="15" x14ac:dyDescent="0.25">
      <c r="B217" s="262"/>
      <c r="C217" s="398"/>
      <c r="D217" s="399"/>
      <c r="E217" s="399"/>
      <c r="F217" s="400"/>
      <c r="G217" s="263"/>
      <c r="H217" s="259"/>
      <c r="J217" s="324"/>
    </row>
    <row r="218" spans="2:10" ht="15" x14ac:dyDescent="0.25">
      <c r="B218" s="262"/>
      <c r="C218" s="11"/>
      <c r="D218" s="10"/>
      <c r="E218" s="10"/>
      <c r="F218" s="9"/>
      <c r="G218" s="263"/>
      <c r="H218" s="264"/>
      <c r="I218" s="260"/>
      <c r="J218" s="261"/>
    </row>
    <row r="219" spans="2:10" ht="15" x14ac:dyDescent="0.25">
      <c r="B219" s="262"/>
      <c r="C219" s="11"/>
      <c r="D219" s="10"/>
      <c r="E219" s="10"/>
      <c r="F219" s="9"/>
      <c r="G219" s="263"/>
      <c r="H219" s="264"/>
      <c r="I219" s="265"/>
      <c r="J219" s="261"/>
    </row>
    <row r="220" spans="2:10" ht="16.5" thickBot="1" x14ac:dyDescent="0.3">
      <c r="B220" s="266"/>
      <c r="C220" s="228"/>
      <c r="D220" s="267"/>
      <c r="E220" s="267"/>
      <c r="F220" s="267"/>
      <c r="G220" s="268"/>
      <c r="H220" s="269"/>
      <c r="I220" s="270" t="s">
        <v>1061</v>
      </c>
      <c r="J220" s="271">
        <f>ROUND((SUM(J215:J219)),2)</f>
        <v>830.55</v>
      </c>
    </row>
    <row r="221" spans="2:10" ht="16.5" thickBot="1" x14ac:dyDescent="0.3">
      <c r="B221" s="272" t="s">
        <v>1062</v>
      </c>
      <c r="C221" s="273"/>
      <c r="D221" s="274"/>
      <c r="E221" s="274"/>
      <c r="F221" s="274"/>
      <c r="G221" s="274"/>
      <c r="H221" s="275"/>
      <c r="I221" s="276"/>
      <c r="J221" s="277"/>
    </row>
    <row r="222" spans="2:10" ht="16.5" thickBot="1" x14ac:dyDescent="0.3">
      <c r="B222" s="278" t="s">
        <v>43</v>
      </c>
      <c r="C222" s="401" t="s">
        <v>44</v>
      </c>
      <c r="D222" s="402"/>
      <c r="E222" s="403"/>
      <c r="F222" s="279"/>
      <c r="G222" s="280" t="s">
        <v>45</v>
      </c>
      <c r="H222" s="280" t="s">
        <v>109</v>
      </c>
      <c r="I222" s="280" t="s">
        <v>4</v>
      </c>
      <c r="J222" s="281" t="s">
        <v>1060</v>
      </c>
    </row>
    <row r="223" spans="2:10" ht="16.5" thickBot="1" x14ac:dyDescent="0.3">
      <c r="B223" s="282" t="s">
        <v>510</v>
      </c>
      <c r="C223" s="5" t="str">
        <f>VLOOKUP(B223,INSUMOS!$B$3:$E$310,2,FALSE)</f>
        <v xml:space="preserve">Pintura Anticorrosiva </v>
      </c>
      <c r="D223" s="4"/>
      <c r="E223" s="4"/>
      <c r="F223" s="3"/>
      <c r="G223" s="258" t="str">
        <f>VLOOKUP(B223,INSUMOS!$B$3:$E$310,3,FALSE)</f>
        <v>GLN</v>
      </c>
      <c r="H223" s="259">
        <f>VLOOKUP(B223,INSUMOS!$B$3:$E$310,4,FALSE)</f>
        <v>74900</v>
      </c>
      <c r="I223" s="260">
        <v>0.08</v>
      </c>
      <c r="J223" s="317">
        <f>I223*H223</f>
        <v>5992</v>
      </c>
    </row>
    <row r="224" spans="2:10" ht="15.75" x14ac:dyDescent="0.25">
      <c r="B224" s="282" t="s">
        <v>833</v>
      </c>
      <c r="C224" s="5" t="str">
        <f>VLOOKUP(B224,INSUMOS!$B$3:$E$310,2,FALSE)</f>
        <v>Laca base agua tipo carver italia</v>
      </c>
      <c r="D224" s="4"/>
      <c r="E224" s="4"/>
      <c r="F224" s="3"/>
      <c r="G224" s="258" t="str">
        <f>VLOOKUP(B224,INSUMOS!$B$3:$E$310,3,FALSE)</f>
        <v>LITRO</v>
      </c>
      <c r="H224" s="259">
        <f>VLOOKUP(B224,INSUMOS!$B$3:$E$310,4,FALSE)</f>
        <v>160000</v>
      </c>
      <c r="I224" s="260">
        <v>0.05</v>
      </c>
      <c r="J224" s="317">
        <f>I224*H224</f>
        <v>8000</v>
      </c>
    </row>
    <row r="225" spans="2:10" ht="15" x14ac:dyDescent="0.25">
      <c r="B225" s="284"/>
      <c r="C225" s="11"/>
      <c r="D225" s="10"/>
      <c r="E225" s="10"/>
      <c r="F225" s="9"/>
      <c r="G225" s="263"/>
      <c r="H225" s="264"/>
      <c r="I225" s="265"/>
      <c r="J225" s="283"/>
    </row>
    <row r="226" spans="2:10" ht="15" x14ac:dyDescent="0.25">
      <c r="B226" s="284"/>
      <c r="C226" s="11"/>
      <c r="D226" s="10"/>
      <c r="E226" s="10"/>
      <c r="F226" s="9"/>
      <c r="G226" s="263"/>
      <c r="H226" s="264"/>
      <c r="I226" s="265"/>
      <c r="J226" s="283"/>
    </row>
    <row r="227" spans="2:10" ht="16.5" thickBot="1" x14ac:dyDescent="0.3">
      <c r="B227" s="227"/>
      <c r="C227" s="228"/>
      <c r="D227" s="228"/>
      <c r="E227" s="228"/>
      <c r="F227" s="228"/>
      <c r="G227" s="286"/>
      <c r="H227" s="287"/>
      <c r="I227" s="270" t="s">
        <v>1061</v>
      </c>
      <c r="J227" s="288">
        <f>+J224+J223</f>
        <v>13992</v>
      </c>
    </row>
    <row r="228" spans="2:10" ht="16.5" thickBot="1" x14ac:dyDescent="0.3">
      <c r="B228" s="289" t="s">
        <v>1068</v>
      </c>
      <c r="C228" s="290"/>
      <c r="D228" s="228"/>
      <c r="E228" s="228"/>
      <c r="F228" s="228"/>
      <c r="G228" s="228"/>
      <c r="H228" s="235"/>
      <c r="I228" s="291"/>
      <c r="J228" s="240"/>
    </row>
    <row r="229" spans="2:10" ht="16.5" thickBot="1" x14ac:dyDescent="0.3">
      <c r="B229" s="292" t="s">
        <v>43</v>
      </c>
      <c r="C229" s="8" t="s">
        <v>44</v>
      </c>
      <c r="D229" s="7"/>
      <c r="E229" s="6"/>
      <c r="F229" s="293"/>
      <c r="G229" s="331" t="s">
        <v>107</v>
      </c>
      <c r="H229" s="294" t="s">
        <v>108</v>
      </c>
      <c r="I229" s="294" t="s">
        <v>1069</v>
      </c>
      <c r="J229" s="295" t="s">
        <v>1060</v>
      </c>
    </row>
    <row r="230" spans="2:10" ht="15" x14ac:dyDescent="0.25">
      <c r="B230" s="282"/>
      <c r="C230" s="5"/>
      <c r="D230" s="4"/>
      <c r="E230" s="4"/>
      <c r="F230" s="3"/>
      <c r="G230" s="258"/>
      <c r="H230" s="296"/>
      <c r="I230" s="260"/>
      <c r="J230" s="297">
        <f>H230*I230</f>
        <v>0</v>
      </c>
    </row>
    <row r="231" spans="2:10" ht="15" x14ac:dyDescent="0.25">
      <c r="B231" s="282"/>
      <c r="C231" s="11"/>
      <c r="D231" s="10"/>
      <c r="E231" s="10"/>
      <c r="F231" s="9"/>
      <c r="G231" s="258"/>
      <c r="H231" s="259"/>
      <c r="I231" s="260"/>
      <c r="J231" s="283">
        <f>+G231*I231</f>
        <v>0</v>
      </c>
    </row>
    <row r="232" spans="2:10" ht="15" x14ac:dyDescent="0.25">
      <c r="B232" s="282"/>
      <c r="C232" s="11"/>
      <c r="D232" s="10"/>
      <c r="E232" s="10"/>
      <c r="F232" s="9"/>
      <c r="G232" s="258"/>
      <c r="H232" s="259"/>
      <c r="I232" s="260"/>
      <c r="J232" s="283">
        <f>+G232*I232</f>
        <v>0</v>
      </c>
    </row>
    <row r="233" spans="2:10" ht="15" x14ac:dyDescent="0.25">
      <c r="B233" s="282"/>
      <c r="C233" s="11"/>
      <c r="D233" s="10"/>
      <c r="E233" s="10"/>
      <c r="F233" s="9"/>
      <c r="G233" s="258"/>
      <c r="H233" s="259"/>
      <c r="I233" s="260"/>
      <c r="J233" s="283">
        <f>+G233*I233</f>
        <v>0</v>
      </c>
    </row>
    <row r="234" spans="2:10" ht="15" x14ac:dyDescent="0.25">
      <c r="B234" s="284"/>
      <c r="C234" s="11"/>
      <c r="D234" s="10"/>
      <c r="E234" s="10"/>
      <c r="F234" s="9"/>
      <c r="G234" s="263"/>
      <c r="H234" s="264"/>
      <c r="I234" s="265"/>
      <c r="J234" s="285">
        <f>+G234*I234</f>
        <v>0</v>
      </c>
    </row>
    <row r="235" spans="2:10" ht="16.5" thickBot="1" x14ac:dyDescent="0.3">
      <c r="B235" s="227"/>
      <c r="C235" s="228"/>
      <c r="D235" s="228"/>
      <c r="E235" s="228"/>
      <c r="F235" s="228"/>
      <c r="G235" s="228"/>
      <c r="H235" s="235"/>
      <c r="I235" s="298" t="s">
        <v>1061</v>
      </c>
      <c r="J235" s="288">
        <f>ROUND((SUM(J230:J234)),2)</f>
        <v>0</v>
      </c>
    </row>
    <row r="236" spans="2:10" ht="16.5" thickBot="1" x14ac:dyDescent="0.3">
      <c r="B236" s="289" t="s">
        <v>1070</v>
      </c>
      <c r="C236" s="290"/>
      <c r="D236" s="228"/>
      <c r="E236" s="228"/>
      <c r="F236" s="228"/>
      <c r="G236" s="228"/>
      <c r="H236" s="235"/>
      <c r="I236" s="291"/>
      <c r="J236" s="240"/>
    </row>
    <row r="237" spans="2:10" ht="16.5" thickBot="1" x14ac:dyDescent="0.3">
      <c r="B237" s="292" t="s">
        <v>43</v>
      </c>
      <c r="C237" s="8" t="s">
        <v>44</v>
      </c>
      <c r="D237" s="7"/>
      <c r="E237" s="6"/>
      <c r="F237" s="293"/>
      <c r="G237" s="294" t="s">
        <v>45</v>
      </c>
      <c r="H237" s="294" t="s">
        <v>109</v>
      </c>
      <c r="I237" s="294" t="s">
        <v>1059</v>
      </c>
      <c r="J237" s="295" t="s">
        <v>1060</v>
      </c>
    </row>
    <row r="238" spans="2:10" ht="15" customHeight="1" x14ac:dyDescent="0.25">
      <c r="B238" s="282" t="s">
        <v>71</v>
      </c>
      <c r="C238" s="5" t="str">
        <f>VLOOKUP(B238,CUADRILLAS!$B$4:$G$19,2,)</f>
        <v>CUADRILLA I (Oficial + ayudante)</v>
      </c>
      <c r="D238" s="4"/>
      <c r="E238" s="4"/>
      <c r="F238" s="3"/>
      <c r="G238" s="259" t="str">
        <f>VLOOKUP(B238,CUADRILLAS!$B$4:$G$19,5,FALSE)</f>
        <v>H</v>
      </c>
      <c r="H238" s="296">
        <f>VLOOKUP(B238,CUADRILLAS!$B$4:$G$19,6,FALSE)</f>
        <v>63785.417685</v>
      </c>
      <c r="I238" s="260">
        <v>0.30979571267739392</v>
      </c>
      <c r="J238" s="297">
        <f>H238*I238</f>
        <v>19760.448930149822</v>
      </c>
    </row>
    <row r="239" spans="2:10" ht="15" x14ac:dyDescent="0.25">
      <c r="B239" s="284"/>
      <c r="C239" s="2"/>
      <c r="D239" s="1"/>
      <c r="E239" s="1"/>
      <c r="F239" s="15"/>
      <c r="G239" s="263"/>
      <c r="H239" s="264"/>
      <c r="I239" s="265"/>
      <c r="J239" s="285"/>
    </row>
    <row r="240" spans="2:10" ht="15" x14ac:dyDescent="0.25">
      <c r="B240" s="284"/>
      <c r="C240" s="299"/>
      <c r="D240" s="300"/>
      <c r="E240" s="300"/>
      <c r="F240" s="301"/>
      <c r="G240" s="263"/>
      <c r="H240" s="264"/>
      <c r="I240" s="265"/>
      <c r="J240" s="285"/>
    </row>
    <row r="241" spans="2:12" ht="15" x14ac:dyDescent="0.25">
      <c r="B241" s="284"/>
      <c r="C241" s="299"/>
      <c r="D241" s="300"/>
      <c r="E241" s="300"/>
      <c r="F241" s="301"/>
      <c r="G241" s="263"/>
      <c r="H241" s="264"/>
      <c r="I241" s="265"/>
      <c r="J241" s="285"/>
    </row>
    <row r="242" spans="2:12" ht="15" x14ac:dyDescent="0.25">
      <c r="B242" s="284"/>
      <c r="C242" s="299"/>
      <c r="D242" s="300"/>
      <c r="E242" s="300"/>
      <c r="F242" s="301"/>
      <c r="G242" s="263"/>
      <c r="H242" s="264"/>
      <c r="I242" s="265"/>
      <c r="J242" s="285">
        <f>+H242*I242</f>
        <v>0</v>
      </c>
    </row>
    <row r="243" spans="2:12" ht="15.75" x14ac:dyDescent="0.25">
      <c r="B243" s="227"/>
      <c r="C243" s="228"/>
      <c r="D243" s="228"/>
      <c r="E243" s="228"/>
      <c r="F243" s="228"/>
      <c r="G243" s="286"/>
      <c r="H243" s="235"/>
      <c r="I243" s="302" t="s">
        <v>1061</v>
      </c>
      <c r="J243" s="303">
        <f>SUM(J238:J242)</f>
        <v>19760.448930149822</v>
      </c>
    </row>
    <row r="244" spans="2:12" ht="15.75" thickBot="1" x14ac:dyDescent="0.3">
      <c r="B244" s="227"/>
      <c r="C244" s="228"/>
      <c r="D244" s="228"/>
      <c r="E244" s="228"/>
      <c r="F244" s="228"/>
      <c r="G244" s="286"/>
      <c r="H244" s="235"/>
      <c r="I244" s="236"/>
      <c r="J244" s="240"/>
    </row>
    <row r="245" spans="2:12" ht="16.5" thickBot="1" x14ac:dyDescent="0.3">
      <c r="B245" s="227"/>
      <c r="C245" s="228"/>
      <c r="D245" s="228"/>
      <c r="E245" s="228"/>
      <c r="F245" s="228"/>
      <c r="G245" s="14" t="s">
        <v>1071</v>
      </c>
      <c r="H245" s="13"/>
      <c r="I245" s="12"/>
      <c r="J245" s="304">
        <f>ROUND((SUM(J243+J235+J227+J220)),2)</f>
        <v>34583</v>
      </c>
      <c r="L245" s="95">
        <v>34583</v>
      </c>
    </row>
    <row r="246" spans="2:12" ht="16.5" thickBot="1" x14ac:dyDescent="0.3">
      <c r="B246" s="227"/>
      <c r="C246" s="228"/>
      <c r="D246" s="228"/>
      <c r="E246" s="228"/>
      <c r="F246" s="228"/>
      <c r="G246" s="394"/>
      <c r="H246" s="394"/>
      <c r="I246" s="305"/>
      <c r="J246" s="304"/>
    </row>
    <row r="247" spans="2:12" ht="16.5" thickBot="1" x14ac:dyDescent="0.3">
      <c r="B247" s="227"/>
      <c r="C247" s="228"/>
      <c r="D247" s="228"/>
      <c r="E247" s="228"/>
      <c r="F247" s="228"/>
      <c r="G247" s="14" t="s">
        <v>1072</v>
      </c>
      <c r="H247" s="13"/>
      <c r="I247" s="12"/>
      <c r="J247" s="306">
        <f>+J245+J246</f>
        <v>34583</v>
      </c>
    </row>
    <row r="248" spans="2:12" x14ac:dyDescent="0.25">
      <c r="B248" s="307"/>
      <c r="C248" s="216"/>
      <c r="D248" s="216"/>
      <c r="E248" s="216"/>
      <c r="F248" s="216"/>
      <c r="G248" s="216"/>
      <c r="H248" s="216"/>
      <c r="I248" s="216"/>
      <c r="J248" s="308"/>
    </row>
    <row r="249" spans="2:12" x14ac:dyDescent="0.25">
      <c r="B249" s="307"/>
      <c r="C249" s="216"/>
      <c r="D249" s="216"/>
      <c r="E249" s="216"/>
      <c r="F249" s="216"/>
      <c r="G249" s="216"/>
      <c r="H249" s="216"/>
      <c r="I249" s="216"/>
      <c r="J249" s="308"/>
    </row>
    <row r="250" spans="2:12" ht="14.25" thickBot="1" x14ac:dyDescent="0.3">
      <c r="B250" s="309"/>
      <c r="C250" s="310"/>
      <c r="D250" s="310"/>
      <c r="E250" s="310"/>
      <c r="F250" s="310"/>
      <c r="G250" s="310"/>
      <c r="H250" s="310"/>
      <c r="I250" s="310"/>
      <c r="J250" s="311"/>
    </row>
    <row r="251" spans="2:12" ht="14.25" thickBot="1" x14ac:dyDescent="0.3"/>
    <row r="252" spans="2:12" x14ac:dyDescent="0.25">
      <c r="B252" s="458"/>
      <c r="C252" s="459"/>
      <c r="D252" s="461" t="s">
        <v>1052</v>
      </c>
      <c r="E252" s="462"/>
      <c r="F252" s="462"/>
      <c r="G252" s="462"/>
      <c r="H252" s="463"/>
      <c r="I252" s="464"/>
      <c r="J252" s="465"/>
    </row>
    <row r="253" spans="2:12" ht="49.5" customHeight="1" thickBot="1" x14ac:dyDescent="0.3">
      <c r="B253" s="460"/>
      <c r="C253" s="422"/>
      <c r="D253" s="426"/>
      <c r="E253" s="427"/>
      <c r="F253" s="427"/>
      <c r="G253" s="427"/>
      <c r="H253" s="428"/>
      <c r="I253" s="431"/>
      <c r="J253" s="466"/>
    </row>
    <row r="254" spans="2:12" ht="16.5" thickBot="1" x14ac:dyDescent="0.3">
      <c r="B254" s="218"/>
      <c r="C254" s="219"/>
      <c r="D254" s="219"/>
      <c r="E254" s="219"/>
      <c r="F254" s="219"/>
      <c r="G254" s="219"/>
      <c r="H254" s="219"/>
      <c r="I254" s="219"/>
      <c r="J254" s="220"/>
    </row>
    <row r="255" spans="2:12" ht="16.5" thickBot="1" x14ac:dyDescent="0.3">
      <c r="B255" s="433" t="s">
        <v>1053</v>
      </c>
      <c r="C255" s="434"/>
      <c r="D255" s="222"/>
      <c r="E255" s="223" t="s">
        <v>171</v>
      </c>
      <c r="F255" s="222">
        <v>30</v>
      </c>
      <c r="G255" s="222" t="s">
        <v>462</v>
      </c>
      <c r="H255" s="223">
        <v>4</v>
      </c>
      <c r="I255" s="224" t="s">
        <v>1054</v>
      </c>
      <c r="J255" s="225">
        <v>2026</v>
      </c>
    </row>
    <row r="256" spans="2:12" ht="15.75" thickBot="1" x14ac:dyDescent="0.3">
      <c r="B256" s="227"/>
      <c r="C256" s="228"/>
      <c r="D256" s="228"/>
      <c r="E256" s="228"/>
      <c r="F256" s="228"/>
      <c r="G256" s="228"/>
      <c r="H256" s="228"/>
      <c r="I256" s="228"/>
      <c r="J256" s="229"/>
    </row>
    <row r="257" spans="2:10" x14ac:dyDescent="0.25">
      <c r="B257" s="451" t="s">
        <v>1055</v>
      </c>
      <c r="C257" s="436"/>
      <c r="D257" s="441" t="s">
        <v>1110</v>
      </c>
      <c r="E257" s="442"/>
      <c r="F257" s="442"/>
      <c r="G257" s="442"/>
      <c r="H257" s="442"/>
      <c r="I257" s="442"/>
      <c r="J257" s="454"/>
    </row>
    <row r="258" spans="2:10" x14ac:dyDescent="0.25">
      <c r="B258" s="452"/>
      <c r="C258" s="438"/>
      <c r="D258" s="444"/>
      <c r="E258" s="445"/>
      <c r="F258" s="445"/>
      <c r="G258" s="445"/>
      <c r="H258" s="445"/>
      <c r="I258" s="445"/>
      <c r="J258" s="455"/>
    </row>
    <row r="259" spans="2:10" ht="28.5" customHeight="1" thickBot="1" x14ac:dyDescent="0.3">
      <c r="B259" s="453"/>
      <c r="C259" s="440"/>
      <c r="D259" s="447"/>
      <c r="E259" s="448"/>
      <c r="F259" s="448"/>
      <c r="G259" s="448"/>
      <c r="H259" s="448"/>
      <c r="I259" s="448"/>
      <c r="J259" s="456"/>
    </row>
    <row r="260" spans="2:10" ht="16.5" thickBot="1" x14ac:dyDescent="0.3">
      <c r="B260" s="433"/>
      <c r="C260" s="405"/>
      <c r="D260" s="405"/>
      <c r="E260" s="405"/>
      <c r="F260" s="405"/>
      <c r="G260" s="405"/>
      <c r="H260" s="405"/>
      <c r="I260" s="405"/>
      <c r="J260" s="457"/>
    </row>
    <row r="261" spans="2:10" ht="16.5" customHeight="1" thickBot="1" x14ac:dyDescent="0.3">
      <c r="B261" s="231" t="s">
        <v>1056</v>
      </c>
      <c r="C261" s="232">
        <v>3.1</v>
      </c>
      <c r="D261" s="407" t="str">
        <f>'ppto oficial '!B13</f>
        <v>Tratamiento quimico fachada muro en ladrillo a  la vista</v>
      </c>
      <c r="E261" s="408"/>
      <c r="F261" s="408"/>
      <c r="G261" s="408"/>
      <c r="H261" s="409"/>
      <c r="I261" s="232" t="s">
        <v>1057</v>
      </c>
      <c r="J261" s="233" t="str">
        <f>VLOOKUP(C261,'ppto oficial '!$A$5:$D$30,3,FALSE)</f>
        <v>m2</v>
      </c>
    </row>
    <row r="262" spans="2:10" ht="15.75" thickBot="1" x14ac:dyDescent="0.3">
      <c r="B262" s="227"/>
      <c r="C262" s="228"/>
      <c r="D262" s="228"/>
      <c r="E262" s="228"/>
      <c r="F262" s="228"/>
      <c r="G262" s="228"/>
      <c r="H262" s="235"/>
      <c r="I262" s="236"/>
      <c r="J262" s="237"/>
    </row>
    <row r="263" spans="2:10" ht="16.5" thickBot="1" x14ac:dyDescent="0.3">
      <c r="B263" s="238" t="s">
        <v>1058</v>
      </c>
      <c r="C263" s="239"/>
      <c r="D263" s="228"/>
      <c r="E263" s="228"/>
      <c r="F263" s="228"/>
      <c r="G263" s="228"/>
      <c r="H263" s="235"/>
      <c r="I263" s="236"/>
      <c r="J263" s="240"/>
    </row>
    <row r="264" spans="2:10" ht="16.5" thickBot="1" x14ac:dyDescent="0.3">
      <c r="B264" s="318" t="s">
        <v>43</v>
      </c>
      <c r="C264" s="410" t="s">
        <v>2</v>
      </c>
      <c r="D264" s="411"/>
      <c r="E264" s="412"/>
      <c r="F264" s="319"/>
      <c r="G264" s="320" t="s">
        <v>105</v>
      </c>
      <c r="H264" s="320" t="s">
        <v>106</v>
      </c>
      <c r="I264" s="320" t="s">
        <v>1059</v>
      </c>
      <c r="J264" s="321" t="s">
        <v>1060</v>
      </c>
    </row>
    <row r="265" spans="2:10" ht="15" x14ac:dyDescent="0.25">
      <c r="B265" s="282" t="s">
        <v>113</v>
      </c>
      <c r="C265" s="413" t="s">
        <v>114</v>
      </c>
      <c r="D265" s="414"/>
      <c r="E265" s="414"/>
      <c r="F265" s="415"/>
      <c r="G265" s="251" t="s">
        <v>1073</v>
      </c>
      <c r="H265" s="252">
        <f>+J288</f>
        <v>26210.764915175929</v>
      </c>
      <c r="I265" s="314">
        <v>0.05</v>
      </c>
      <c r="J265" s="315">
        <v>365.85710977962196</v>
      </c>
    </row>
    <row r="266" spans="2:10" ht="15" customHeight="1" x14ac:dyDescent="0.25">
      <c r="B266" s="262" t="s">
        <v>411</v>
      </c>
      <c r="C266" s="416" t="str">
        <f>VLOOKUP(B266,INSUMOS!$K$4:$N$135,2,FALSE)</f>
        <v>Hidrolavadora eléctrica</v>
      </c>
      <c r="D266" s="417"/>
      <c r="E266" s="417"/>
      <c r="F266" s="418"/>
      <c r="G266" s="251" t="str">
        <f>VLOOKUP(B266,INSUMOS!$K$4:$N$135,3,FALSE)</f>
        <v>Día</v>
      </c>
      <c r="H266" s="252">
        <f>VLOOKUP(B266,INSUMOS!$K$4:$N$135,4,FALSE)</f>
        <v>76800</v>
      </c>
      <c r="I266" s="322">
        <v>0.04</v>
      </c>
      <c r="J266" s="323">
        <f>+H266*I266</f>
        <v>3072</v>
      </c>
    </row>
    <row r="267" spans="2:10" ht="15" x14ac:dyDescent="0.25">
      <c r="B267" s="262" t="s">
        <v>169</v>
      </c>
      <c r="C267" s="416" t="str">
        <f>VLOOKUP(B267,INSUMOS!$K$4:$N$135,2,FALSE)</f>
        <v xml:space="preserve">Andamio certificado x modulo </v>
      </c>
      <c r="D267" s="417"/>
      <c r="E267" s="417"/>
      <c r="F267" s="418"/>
      <c r="G267" s="251" t="str">
        <f>VLOOKUP(B267,INSUMOS!$K$4:$N$135,3,FALSE)</f>
        <v>DIA</v>
      </c>
      <c r="H267" s="252">
        <f>VLOOKUP(B267,INSUMOS!$K$4:$N$135,4,FALSE)</f>
        <v>12000</v>
      </c>
      <c r="I267" s="322">
        <f>+I288/8</f>
        <v>5.1365119698314178E-2</v>
      </c>
      <c r="J267" s="323">
        <f>+H267*I267</f>
        <v>616.38143637977009</v>
      </c>
    </row>
    <row r="268" spans="2:10" ht="15" x14ac:dyDescent="0.25">
      <c r="B268" s="262"/>
      <c r="C268" s="398"/>
      <c r="D268" s="399"/>
      <c r="E268" s="399"/>
      <c r="F268" s="400"/>
      <c r="G268" s="263"/>
      <c r="H268" s="264"/>
      <c r="I268" s="260"/>
      <c r="J268" s="261"/>
    </row>
    <row r="269" spans="2:10" ht="15" x14ac:dyDescent="0.25">
      <c r="B269" s="262"/>
      <c r="C269" s="11"/>
      <c r="D269" s="10"/>
      <c r="E269" s="10"/>
      <c r="F269" s="9"/>
      <c r="G269" s="263"/>
      <c r="H269" s="264"/>
      <c r="I269" s="265"/>
      <c r="J269" s="261"/>
    </row>
    <row r="270" spans="2:10" ht="16.5" thickBot="1" x14ac:dyDescent="0.3">
      <c r="B270" s="266"/>
      <c r="C270" s="228"/>
      <c r="D270" s="267"/>
      <c r="E270" s="267"/>
      <c r="F270" s="267"/>
      <c r="G270" s="268"/>
      <c r="H270" s="269"/>
      <c r="I270" s="270" t="s">
        <v>1061</v>
      </c>
      <c r="J270" s="271">
        <f>ROUND((SUM(J265:J269)),2)</f>
        <v>4054.24</v>
      </c>
    </row>
    <row r="271" spans="2:10" ht="16.5" thickBot="1" x14ac:dyDescent="0.3">
      <c r="B271" s="272" t="s">
        <v>1062</v>
      </c>
      <c r="C271" s="273"/>
      <c r="D271" s="274"/>
      <c r="E271" s="274"/>
      <c r="F271" s="274"/>
      <c r="G271" s="274"/>
      <c r="H271" s="275"/>
      <c r="I271" s="276"/>
      <c r="J271" s="277"/>
    </row>
    <row r="272" spans="2:10" ht="16.5" thickBot="1" x14ac:dyDescent="0.3">
      <c r="B272" s="278" t="s">
        <v>43</v>
      </c>
      <c r="C272" s="401" t="s">
        <v>44</v>
      </c>
      <c r="D272" s="402"/>
      <c r="E272" s="403"/>
      <c r="F272" s="279"/>
      <c r="G272" s="280" t="s">
        <v>45</v>
      </c>
      <c r="H272" s="280" t="s">
        <v>109</v>
      </c>
      <c r="I272" s="280" t="s">
        <v>4</v>
      </c>
      <c r="J272" s="281" t="s">
        <v>1060</v>
      </c>
    </row>
    <row r="273" spans="2:10" ht="15.75" x14ac:dyDescent="0.25">
      <c r="B273" s="282" t="s">
        <v>880</v>
      </c>
      <c r="C273" s="5" t="str">
        <f>VLOOKUP(B273,INSUMOS!$B$3:$E$310,2,FALSE)</f>
        <v>Pintura de impermeabilización tipo bronco elástico</v>
      </c>
      <c r="D273" s="4"/>
      <c r="E273" s="4"/>
      <c r="F273" s="3"/>
      <c r="G273" s="258" t="str">
        <f>VLOOKUP(B273,INSUMOS!$B$3:$E$310,3,FALSE)</f>
        <v>GLN</v>
      </c>
      <c r="H273" s="259">
        <f>VLOOKUP(B273,INSUMOS!$B$3:$E$310,4,FALSE)</f>
        <v>84900</v>
      </c>
      <c r="I273" s="260">
        <v>0.2</v>
      </c>
      <c r="J273" s="317">
        <f>I273*H273</f>
        <v>16980</v>
      </c>
    </row>
    <row r="274" spans="2:10" ht="15" x14ac:dyDescent="0.25">
      <c r="B274" s="284"/>
      <c r="C274" s="11"/>
      <c r="D274" s="10"/>
      <c r="E274" s="10"/>
      <c r="F274" s="9"/>
      <c r="G274" s="263"/>
      <c r="H274" s="264"/>
      <c r="I274" s="265"/>
      <c r="J274" s="283"/>
    </row>
    <row r="275" spans="2:10" ht="15" x14ac:dyDescent="0.25">
      <c r="B275" s="284"/>
      <c r="C275" s="11"/>
      <c r="D275" s="10"/>
      <c r="E275" s="10"/>
      <c r="F275" s="9"/>
      <c r="G275" s="263"/>
      <c r="H275" s="264"/>
      <c r="I275" s="265"/>
      <c r="J275" s="283"/>
    </row>
    <row r="276" spans="2:10" ht="15" x14ac:dyDescent="0.25">
      <c r="B276" s="284"/>
      <c r="C276" s="11"/>
      <c r="D276" s="10"/>
      <c r="E276" s="10"/>
      <c r="F276" s="9"/>
      <c r="G276" s="263"/>
      <c r="H276" s="264"/>
      <c r="I276" s="265"/>
      <c r="J276" s="283"/>
    </row>
    <row r="277" spans="2:10" ht="16.5" thickBot="1" x14ac:dyDescent="0.3">
      <c r="B277" s="227"/>
      <c r="C277" s="228"/>
      <c r="D277" s="228"/>
      <c r="E277" s="228"/>
      <c r="F277" s="228"/>
      <c r="G277" s="286"/>
      <c r="H277" s="287"/>
      <c r="I277" s="270" t="s">
        <v>1061</v>
      </c>
      <c r="J277" s="288">
        <f>+J273</f>
        <v>16980</v>
      </c>
    </row>
    <row r="278" spans="2:10" ht="16.5" thickBot="1" x14ac:dyDescent="0.3">
      <c r="B278" s="289" t="s">
        <v>1068</v>
      </c>
      <c r="C278" s="290"/>
      <c r="D278" s="228"/>
      <c r="E278" s="228"/>
      <c r="F278" s="228"/>
      <c r="G278" s="228"/>
      <c r="H278" s="235"/>
      <c r="I278" s="291"/>
      <c r="J278" s="240"/>
    </row>
    <row r="279" spans="2:10" ht="16.5" thickBot="1" x14ac:dyDescent="0.3">
      <c r="B279" s="292" t="s">
        <v>43</v>
      </c>
      <c r="C279" s="8" t="s">
        <v>44</v>
      </c>
      <c r="D279" s="7"/>
      <c r="E279" s="6"/>
      <c r="F279" s="293"/>
      <c r="G279" s="331" t="s">
        <v>107</v>
      </c>
      <c r="H279" s="294" t="s">
        <v>108</v>
      </c>
      <c r="I279" s="294" t="s">
        <v>1069</v>
      </c>
      <c r="J279" s="295" t="s">
        <v>1060</v>
      </c>
    </row>
    <row r="280" spans="2:10" ht="15" x14ac:dyDescent="0.25">
      <c r="B280" s="282" t="s">
        <v>115</v>
      </c>
      <c r="C280" s="395" t="s">
        <v>1115</v>
      </c>
      <c r="D280" s="396"/>
      <c r="E280" s="396"/>
      <c r="F280" s="397"/>
      <c r="G280" s="258" t="s">
        <v>1114</v>
      </c>
      <c r="H280" s="259">
        <v>190000</v>
      </c>
      <c r="I280" s="260">
        <v>0.01</v>
      </c>
      <c r="J280" s="297">
        <f>H280*I280</f>
        <v>1900</v>
      </c>
    </row>
    <row r="281" spans="2:10" ht="15" x14ac:dyDescent="0.25">
      <c r="B281" s="282"/>
      <c r="C281" s="11"/>
      <c r="D281" s="10"/>
      <c r="E281" s="10"/>
      <c r="F281" s="9"/>
      <c r="G281" s="258"/>
      <c r="H281" s="259"/>
      <c r="I281" s="260"/>
      <c r="J281" s="283"/>
    </row>
    <row r="282" spans="2:10" ht="15" x14ac:dyDescent="0.25">
      <c r="B282" s="282"/>
      <c r="C282" s="11"/>
      <c r="D282" s="10"/>
      <c r="E282" s="10"/>
      <c r="F282" s="9"/>
      <c r="G282" s="258"/>
      <c r="H282" s="259"/>
      <c r="I282" s="260"/>
      <c r="J282" s="283">
        <f>+G282*I282</f>
        <v>0</v>
      </c>
    </row>
    <row r="283" spans="2:10" ht="15" x14ac:dyDescent="0.25">
      <c r="B283" s="282"/>
      <c r="C283" s="11"/>
      <c r="D283" s="10"/>
      <c r="E283" s="10"/>
      <c r="F283" s="9"/>
      <c r="G283" s="258"/>
      <c r="H283" s="259"/>
      <c r="I283" s="260"/>
      <c r="J283" s="283">
        <f>+G283*I283</f>
        <v>0</v>
      </c>
    </row>
    <row r="284" spans="2:10" ht="15" x14ac:dyDescent="0.25">
      <c r="B284" s="284"/>
      <c r="C284" s="11"/>
      <c r="D284" s="10"/>
      <c r="E284" s="10"/>
      <c r="F284" s="9"/>
      <c r="G284" s="263"/>
      <c r="H284" s="264"/>
      <c r="I284" s="265"/>
      <c r="J284" s="285">
        <f>+G284*I284</f>
        <v>0</v>
      </c>
    </row>
    <row r="285" spans="2:10" ht="16.5" thickBot="1" x14ac:dyDescent="0.3">
      <c r="B285" s="227"/>
      <c r="C285" s="228"/>
      <c r="D285" s="228"/>
      <c r="E285" s="228"/>
      <c r="F285" s="228"/>
      <c r="G285" s="228"/>
      <c r="H285" s="235"/>
      <c r="I285" s="298" t="s">
        <v>1061</v>
      </c>
      <c r="J285" s="288">
        <f>ROUND((SUM(J280:J284)),2)</f>
        <v>1900</v>
      </c>
    </row>
    <row r="286" spans="2:10" ht="16.5" thickBot="1" x14ac:dyDescent="0.3">
      <c r="B286" s="289" t="s">
        <v>1070</v>
      </c>
      <c r="C286" s="290"/>
      <c r="D286" s="228"/>
      <c r="E286" s="228"/>
      <c r="F286" s="228"/>
      <c r="G286" s="228"/>
      <c r="H286" s="235"/>
      <c r="I286" s="291"/>
      <c r="J286" s="240"/>
    </row>
    <row r="287" spans="2:10" ht="16.5" thickBot="1" x14ac:dyDescent="0.3">
      <c r="B287" s="292" t="s">
        <v>43</v>
      </c>
      <c r="C287" s="8" t="s">
        <v>44</v>
      </c>
      <c r="D287" s="7"/>
      <c r="E287" s="6"/>
      <c r="F287" s="293"/>
      <c r="G287" s="294" t="s">
        <v>45</v>
      </c>
      <c r="H287" s="294" t="s">
        <v>109</v>
      </c>
      <c r="I287" s="294" t="s">
        <v>1059</v>
      </c>
      <c r="J287" s="295" t="s">
        <v>1060</v>
      </c>
    </row>
    <row r="288" spans="2:10" ht="15" customHeight="1" x14ac:dyDescent="0.25">
      <c r="B288" s="282" t="s">
        <v>71</v>
      </c>
      <c r="C288" s="5" t="str">
        <f>VLOOKUP(B288,CUADRILLAS!$B$4:$G$19,2,)</f>
        <v>CUADRILLA I (Oficial + ayudante)</v>
      </c>
      <c r="D288" s="4"/>
      <c r="E288" s="4"/>
      <c r="F288" s="3"/>
      <c r="G288" s="259" t="str">
        <f>VLOOKUP(B288,CUADRILLAS!$B$4:$G$19,5,FALSE)</f>
        <v>H</v>
      </c>
      <c r="H288" s="296">
        <f>VLOOKUP(B288,CUADRILLAS!$B$4:$G$19,6,FALSE)</f>
        <v>63785.417685</v>
      </c>
      <c r="I288" s="260">
        <v>0.41092095758651342</v>
      </c>
      <c r="J288" s="297">
        <f>H288*I288</f>
        <v>26210.764915175929</v>
      </c>
    </row>
    <row r="289" spans="2:12" ht="15" x14ac:dyDescent="0.25">
      <c r="B289" s="284"/>
      <c r="C289" s="2"/>
      <c r="D289" s="1"/>
      <c r="E289" s="1"/>
      <c r="F289" s="15"/>
      <c r="G289" s="263"/>
      <c r="H289" s="264"/>
      <c r="I289" s="265"/>
      <c r="J289" s="285"/>
    </row>
    <row r="290" spans="2:12" ht="15" x14ac:dyDescent="0.25">
      <c r="B290" s="284"/>
      <c r="C290" s="299"/>
      <c r="D290" s="300"/>
      <c r="E290" s="300"/>
      <c r="F290" s="301"/>
      <c r="G290" s="263"/>
      <c r="H290" s="264"/>
      <c r="I290" s="265"/>
      <c r="J290" s="285"/>
    </row>
    <row r="291" spans="2:12" ht="15" x14ac:dyDescent="0.25">
      <c r="B291" s="284"/>
      <c r="C291" s="299"/>
      <c r="D291" s="300"/>
      <c r="E291" s="300"/>
      <c r="F291" s="301"/>
      <c r="G291" s="263"/>
      <c r="H291" s="264"/>
      <c r="I291" s="265"/>
      <c r="J291" s="285"/>
    </row>
    <row r="292" spans="2:12" ht="15" x14ac:dyDescent="0.25">
      <c r="B292" s="284"/>
      <c r="C292" s="299"/>
      <c r="D292" s="300"/>
      <c r="E292" s="300"/>
      <c r="F292" s="301"/>
      <c r="G292" s="263"/>
      <c r="H292" s="264"/>
      <c r="I292" s="265"/>
      <c r="J292" s="285">
        <f>+H292*I292</f>
        <v>0</v>
      </c>
    </row>
    <row r="293" spans="2:12" ht="15.75" x14ac:dyDescent="0.25">
      <c r="B293" s="227"/>
      <c r="C293" s="228"/>
      <c r="D293" s="228"/>
      <c r="E293" s="228"/>
      <c r="F293" s="228"/>
      <c r="G293" s="286"/>
      <c r="H293" s="235"/>
      <c r="I293" s="302" t="s">
        <v>1061</v>
      </c>
      <c r="J293" s="303">
        <f>SUM(J288:J292)</f>
        <v>26210.764915175929</v>
      </c>
    </row>
    <row r="294" spans="2:12" ht="15.75" thickBot="1" x14ac:dyDescent="0.3">
      <c r="B294" s="227"/>
      <c r="C294" s="228"/>
      <c r="D294" s="228"/>
      <c r="E294" s="228"/>
      <c r="F294" s="228"/>
      <c r="G294" s="286"/>
      <c r="H294" s="235"/>
      <c r="I294" s="236"/>
      <c r="J294" s="240"/>
    </row>
    <row r="295" spans="2:12" ht="16.5" thickBot="1" x14ac:dyDescent="0.3">
      <c r="B295" s="227"/>
      <c r="C295" s="228"/>
      <c r="D295" s="228"/>
      <c r="E295" s="228"/>
      <c r="F295" s="228"/>
      <c r="G295" s="14" t="s">
        <v>1071</v>
      </c>
      <c r="H295" s="13"/>
      <c r="I295" s="12"/>
      <c r="J295" s="304">
        <f>ROUND((SUM(J293+J285+J277+J270)),2)</f>
        <v>49145</v>
      </c>
      <c r="L295" s="95">
        <v>49145</v>
      </c>
    </row>
    <row r="296" spans="2:12" ht="16.5" thickBot="1" x14ac:dyDescent="0.3">
      <c r="B296" s="227"/>
      <c r="C296" s="228"/>
      <c r="D296" s="228"/>
      <c r="E296" s="228"/>
      <c r="F296" s="228"/>
      <c r="G296" s="394"/>
      <c r="H296" s="394"/>
      <c r="I296" s="305"/>
      <c r="J296" s="304"/>
    </row>
    <row r="297" spans="2:12" ht="16.5" thickBot="1" x14ac:dyDescent="0.3">
      <c r="B297" s="227"/>
      <c r="C297" s="228"/>
      <c r="D297" s="228"/>
      <c r="E297" s="228"/>
      <c r="F297" s="228"/>
      <c r="G297" s="14" t="s">
        <v>1072</v>
      </c>
      <c r="H297" s="13"/>
      <c r="I297" s="12"/>
      <c r="J297" s="306">
        <f>+J295+J296</f>
        <v>49145</v>
      </c>
    </row>
    <row r="298" spans="2:12" x14ac:dyDescent="0.25">
      <c r="B298" s="307"/>
      <c r="C298" s="216"/>
      <c r="D298" s="216"/>
      <c r="E298" s="216"/>
      <c r="F298" s="216"/>
      <c r="G298" s="216"/>
      <c r="H298" s="216"/>
      <c r="I298" s="216"/>
      <c r="J298" s="308"/>
    </row>
    <row r="299" spans="2:12" x14ac:dyDescent="0.25">
      <c r="B299" s="307"/>
      <c r="C299" s="216"/>
      <c r="D299" s="216"/>
      <c r="E299" s="216"/>
      <c r="F299" s="216"/>
      <c r="G299" s="216"/>
      <c r="H299" s="216"/>
      <c r="I299" s="216"/>
      <c r="J299" s="308"/>
    </row>
    <row r="300" spans="2:12" ht="14.25" thickBot="1" x14ac:dyDescent="0.3">
      <c r="B300" s="309"/>
      <c r="C300" s="310"/>
      <c r="D300" s="310"/>
      <c r="E300" s="310"/>
      <c r="F300" s="310"/>
      <c r="G300" s="310"/>
      <c r="H300" s="310"/>
      <c r="I300" s="310"/>
      <c r="J300" s="311"/>
    </row>
    <row r="301" spans="2:12" ht="14.25" thickBot="1" x14ac:dyDescent="0.3"/>
    <row r="302" spans="2:12" x14ac:dyDescent="0.25">
      <c r="B302" s="458"/>
      <c r="C302" s="459"/>
      <c r="D302" s="461" t="s">
        <v>1052</v>
      </c>
      <c r="E302" s="462"/>
      <c r="F302" s="462"/>
      <c r="G302" s="462"/>
      <c r="H302" s="463"/>
      <c r="I302" s="464"/>
      <c r="J302" s="465"/>
    </row>
    <row r="303" spans="2:12" ht="14.25" thickBot="1" x14ac:dyDescent="0.3">
      <c r="B303" s="460"/>
      <c r="C303" s="422"/>
      <c r="D303" s="426"/>
      <c r="E303" s="427"/>
      <c r="F303" s="427"/>
      <c r="G303" s="427"/>
      <c r="H303" s="428"/>
      <c r="I303" s="431"/>
      <c r="J303" s="466"/>
    </row>
    <row r="304" spans="2:12" ht="16.5" thickBot="1" x14ac:dyDescent="0.3">
      <c r="B304" s="218"/>
      <c r="C304" s="219"/>
      <c r="D304" s="219"/>
      <c r="E304" s="219"/>
      <c r="F304" s="219"/>
      <c r="G304" s="219"/>
      <c r="H304" s="219"/>
      <c r="I304" s="219"/>
      <c r="J304" s="220"/>
    </row>
    <row r="305" spans="2:10" ht="16.5" thickBot="1" x14ac:dyDescent="0.3">
      <c r="B305" s="433" t="s">
        <v>1053</v>
      </c>
      <c r="C305" s="434"/>
      <c r="D305" s="222"/>
      <c r="E305" s="223" t="s">
        <v>171</v>
      </c>
      <c r="F305" s="222">
        <v>30</v>
      </c>
      <c r="G305" s="222" t="s">
        <v>462</v>
      </c>
      <c r="H305" s="223">
        <v>4</v>
      </c>
      <c r="I305" s="224" t="s">
        <v>1054</v>
      </c>
      <c r="J305" s="225">
        <v>2026</v>
      </c>
    </row>
    <row r="306" spans="2:10" ht="15.75" thickBot="1" x14ac:dyDescent="0.3">
      <c r="B306" s="227"/>
      <c r="C306" s="228"/>
      <c r="D306" s="228"/>
      <c r="E306" s="228"/>
      <c r="F306" s="228"/>
      <c r="G306" s="228"/>
      <c r="H306" s="228"/>
      <c r="I306" s="228"/>
      <c r="J306" s="229"/>
    </row>
    <row r="307" spans="2:10" x14ac:dyDescent="0.25">
      <c r="B307" s="451" t="s">
        <v>1055</v>
      </c>
      <c r="C307" s="436"/>
      <c r="D307" s="441" t="s">
        <v>1110</v>
      </c>
      <c r="E307" s="442"/>
      <c r="F307" s="442"/>
      <c r="G307" s="442"/>
      <c r="H307" s="442"/>
      <c r="I307" s="442"/>
      <c r="J307" s="454"/>
    </row>
    <row r="308" spans="2:10" x14ac:dyDescent="0.25">
      <c r="B308" s="452"/>
      <c r="C308" s="438"/>
      <c r="D308" s="444"/>
      <c r="E308" s="445"/>
      <c r="F308" s="445"/>
      <c r="G308" s="445"/>
      <c r="H308" s="445"/>
      <c r="I308" s="445"/>
      <c r="J308" s="455"/>
    </row>
    <row r="309" spans="2:10" ht="31.5" customHeight="1" thickBot="1" x14ac:dyDescent="0.3">
      <c r="B309" s="453"/>
      <c r="C309" s="440"/>
      <c r="D309" s="447"/>
      <c r="E309" s="448"/>
      <c r="F309" s="448"/>
      <c r="G309" s="448"/>
      <c r="H309" s="448"/>
      <c r="I309" s="448"/>
      <c r="J309" s="456"/>
    </row>
    <row r="310" spans="2:10" ht="16.5" thickBot="1" x14ac:dyDescent="0.3">
      <c r="B310" s="433"/>
      <c r="C310" s="405"/>
      <c r="D310" s="405"/>
      <c r="E310" s="405"/>
      <c r="F310" s="405"/>
      <c r="G310" s="405"/>
      <c r="H310" s="405"/>
      <c r="I310" s="405"/>
      <c r="J310" s="457"/>
    </row>
    <row r="311" spans="2:10" ht="16.5" customHeight="1" thickBot="1" x14ac:dyDescent="0.3">
      <c r="B311" s="231" t="s">
        <v>1056</v>
      </c>
      <c r="C311" s="232">
        <v>3.2</v>
      </c>
      <c r="D311" s="407" t="str">
        <f>'ppto oficial '!B14</f>
        <v>Tratamiento quimico fachada muro en piedra muñeca o Bogotana</v>
      </c>
      <c r="E311" s="408"/>
      <c r="F311" s="408"/>
      <c r="G311" s="408"/>
      <c r="H311" s="409"/>
      <c r="I311" s="232" t="s">
        <v>1057</v>
      </c>
      <c r="J311" s="233" t="str">
        <f>VLOOKUP(C311,'ppto oficial '!$A$5:$D$30,3,FALSE)</f>
        <v>m2</v>
      </c>
    </row>
    <row r="312" spans="2:10" ht="15.75" thickBot="1" x14ac:dyDescent="0.3">
      <c r="B312" s="227"/>
      <c r="C312" s="228"/>
      <c r="D312" s="228"/>
      <c r="E312" s="228"/>
      <c r="F312" s="228"/>
      <c r="G312" s="228"/>
      <c r="H312" s="235"/>
      <c r="I312" s="236"/>
      <c r="J312" s="237"/>
    </row>
    <row r="313" spans="2:10" ht="16.5" thickBot="1" x14ac:dyDescent="0.3">
      <c r="B313" s="238" t="s">
        <v>1058</v>
      </c>
      <c r="C313" s="239"/>
      <c r="D313" s="228"/>
      <c r="E313" s="228"/>
      <c r="F313" s="228"/>
      <c r="G313" s="228"/>
      <c r="H313" s="235"/>
      <c r="I313" s="236"/>
      <c r="J313" s="240"/>
    </row>
    <row r="314" spans="2:10" ht="16.5" thickBot="1" x14ac:dyDescent="0.3">
      <c r="B314" s="318" t="s">
        <v>43</v>
      </c>
      <c r="C314" s="410" t="s">
        <v>2</v>
      </c>
      <c r="D314" s="411"/>
      <c r="E314" s="412"/>
      <c r="F314" s="319"/>
      <c r="G314" s="320" t="s">
        <v>105</v>
      </c>
      <c r="H314" s="320" t="s">
        <v>106</v>
      </c>
      <c r="I314" s="320" t="s">
        <v>1059</v>
      </c>
      <c r="J314" s="321" t="s">
        <v>1060</v>
      </c>
    </row>
    <row r="315" spans="2:10" ht="15" x14ac:dyDescent="0.25">
      <c r="B315" s="282" t="s">
        <v>113</v>
      </c>
      <c r="C315" s="413" t="s">
        <v>114</v>
      </c>
      <c r="D315" s="414"/>
      <c r="E315" s="414"/>
      <c r="F315" s="415"/>
      <c r="G315" s="251" t="s">
        <v>1073</v>
      </c>
      <c r="H315" s="252">
        <f>+J338</f>
        <v>28486.837527957519</v>
      </c>
      <c r="I315" s="314">
        <v>0.05</v>
      </c>
      <c r="J315" s="315">
        <v>365.85710977962196</v>
      </c>
    </row>
    <row r="316" spans="2:10" ht="15" customHeight="1" x14ac:dyDescent="0.25">
      <c r="B316" s="262" t="s">
        <v>411</v>
      </c>
      <c r="C316" s="416" t="str">
        <f>VLOOKUP(B316,INSUMOS!$K$4:$N$135,2,FALSE)</f>
        <v>Hidrolavadora eléctrica</v>
      </c>
      <c r="D316" s="417"/>
      <c r="E316" s="417"/>
      <c r="F316" s="418"/>
      <c r="G316" s="251" t="str">
        <f>VLOOKUP(B316,INSUMOS!$K$4:$N$135,3,FALSE)</f>
        <v>Día</v>
      </c>
      <c r="H316" s="252">
        <f>VLOOKUP(B316,INSUMOS!$K$4:$N$135,4,FALSE)</f>
        <v>76800</v>
      </c>
      <c r="I316" s="322">
        <f>+I338/8</f>
        <v>5.5825529097884588E-2</v>
      </c>
      <c r="J316" s="323">
        <f>+H316*I316</f>
        <v>4287.4006347175364</v>
      </c>
    </row>
    <row r="317" spans="2:10" ht="15" customHeight="1" x14ac:dyDescent="0.25">
      <c r="B317" s="262" t="s">
        <v>169</v>
      </c>
      <c r="C317" s="416" t="str">
        <f>VLOOKUP(B317,INSUMOS!$K$4:$N$135,2,FALSE)</f>
        <v xml:space="preserve">Andamio certificado x modulo </v>
      </c>
      <c r="D317" s="417"/>
      <c r="E317" s="417"/>
      <c r="F317" s="418"/>
      <c r="G317" s="251" t="str">
        <f>VLOOKUP(B317,INSUMOS!$K$4:$N$135,3,FALSE)</f>
        <v>DIA</v>
      </c>
      <c r="H317" s="252">
        <f>VLOOKUP(B317,INSUMOS!$K$4:$N$135,4,FALSE)</f>
        <v>12000</v>
      </c>
      <c r="I317" s="322">
        <v>0.12</v>
      </c>
      <c r="J317" s="323">
        <f>+H317*I317</f>
        <v>1440</v>
      </c>
    </row>
    <row r="318" spans="2:10" ht="15" x14ac:dyDescent="0.25">
      <c r="B318" s="262"/>
      <c r="C318" s="398"/>
      <c r="D318" s="399"/>
      <c r="E318" s="399"/>
      <c r="F318" s="400"/>
      <c r="G318" s="263"/>
      <c r="H318" s="264"/>
      <c r="I318" s="260"/>
      <c r="J318" s="261"/>
    </row>
    <row r="319" spans="2:10" ht="15" x14ac:dyDescent="0.25">
      <c r="B319" s="262"/>
      <c r="C319" s="11"/>
      <c r="D319" s="10"/>
      <c r="E319" s="10"/>
      <c r="F319" s="9"/>
      <c r="G319" s="263"/>
      <c r="H319" s="264"/>
      <c r="I319" s="265"/>
      <c r="J319" s="261"/>
    </row>
    <row r="320" spans="2:10" ht="16.5" thickBot="1" x14ac:dyDescent="0.3">
      <c r="B320" s="266"/>
      <c r="C320" s="228"/>
      <c r="D320" s="267"/>
      <c r="E320" s="267"/>
      <c r="F320" s="267"/>
      <c r="G320" s="268"/>
      <c r="H320" s="269"/>
      <c r="I320" s="270" t="s">
        <v>1061</v>
      </c>
      <c r="J320" s="271">
        <f>ROUND((SUM(J315:J319)),2)</f>
        <v>6093.26</v>
      </c>
    </row>
    <row r="321" spans="2:10" ht="16.5" thickBot="1" x14ac:dyDescent="0.3">
      <c r="B321" s="272" t="s">
        <v>1062</v>
      </c>
      <c r="C321" s="273"/>
      <c r="D321" s="274"/>
      <c r="E321" s="274"/>
      <c r="F321" s="274"/>
      <c r="G321" s="274"/>
      <c r="H321" s="275"/>
      <c r="I321" s="276"/>
      <c r="J321" s="277"/>
    </row>
    <row r="322" spans="2:10" ht="16.5" thickBot="1" x14ac:dyDescent="0.3">
      <c r="B322" s="278" t="s">
        <v>43</v>
      </c>
      <c r="C322" s="401" t="s">
        <v>44</v>
      </c>
      <c r="D322" s="402"/>
      <c r="E322" s="403"/>
      <c r="F322" s="279"/>
      <c r="G322" s="280" t="s">
        <v>45</v>
      </c>
      <c r="H322" s="280" t="s">
        <v>109</v>
      </c>
      <c r="I322" s="280" t="s">
        <v>4</v>
      </c>
      <c r="J322" s="281" t="s">
        <v>1060</v>
      </c>
    </row>
    <row r="323" spans="2:10" ht="15.75" x14ac:dyDescent="0.25">
      <c r="B323" s="282" t="s">
        <v>880</v>
      </c>
      <c r="C323" s="5" t="str">
        <f>VLOOKUP(B323,INSUMOS!$B$3:$E$310,2,FALSE)</f>
        <v>Pintura de impermeabilización tipo bronco elástico</v>
      </c>
      <c r="D323" s="4"/>
      <c r="E323" s="4"/>
      <c r="F323" s="3"/>
      <c r="G323" s="258" t="str">
        <f>VLOOKUP(B323,INSUMOS!$B$3:$E$310,3,FALSE)</f>
        <v>GLN</v>
      </c>
      <c r="H323" s="259">
        <f>VLOOKUP(B323,INSUMOS!$B$3:$E$310,4,FALSE)</f>
        <v>84900</v>
      </c>
      <c r="I323" s="260">
        <v>0.21256654888103646</v>
      </c>
      <c r="J323" s="317">
        <f>I323*H323</f>
        <v>18046.899999999994</v>
      </c>
    </row>
    <row r="324" spans="2:10" ht="15" x14ac:dyDescent="0.25">
      <c r="B324" s="284"/>
      <c r="C324" s="11"/>
      <c r="D324" s="10"/>
      <c r="E324" s="10"/>
      <c r="F324" s="9"/>
      <c r="G324" s="263"/>
      <c r="H324" s="264"/>
      <c r="I324" s="265"/>
      <c r="J324" s="283"/>
    </row>
    <row r="325" spans="2:10" ht="15" x14ac:dyDescent="0.25">
      <c r="B325" s="284"/>
      <c r="C325" s="11"/>
      <c r="D325" s="10"/>
      <c r="E325" s="10"/>
      <c r="F325" s="9"/>
      <c r="G325" s="263"/>
      <c r="H325" s="264"/>
      <c r="I325" s="265"/>
      <c r="J325" s="283"/>
    </row>
    <row r="326" spans="2:10" ht="15" x14ac:dyDescent="0.25">
      <c r="B326" s="284"/>
      <c r="C326" s="11"/>
      <c r="D326" s="10"/>
      <c r="E326" s="10"/>
      <c r="F326" s="9"/>
      <c r="G326" s="263"/>
      <c r="H326" s="264"/>
      <c r="I326" s="265"/>
      <c r="J326" s="283"/>
    </row>
    <row r="327" spans="2:10" ht="16.5" thickBot="1" x14ac:dyDescent="0.3">
      <c r="B327" s="227"/>
      <c r="C327" s="228"/>
      <c r="D327" s="228"/>
      <c r="E327" s="228"/>
      <c r="F327" s="228"/>
      <c r="G327" s="286"/>
      <c r="H327" s="287"/>
      <c r="I327" s="270" t="s">
        <v>1061</v>
      </c>
      <c r="J327" s="288">
        <f>+J323</f>
        <v>18046.899999999994</v>
      </c>
    </row>
    <row r="328" spans="2:10" ht="16.5" thickBot="1" x14ac:dyDescent="0.3">
      <c r="B328" s="289" t="s">
        <v>1068</v>
      </c>
      <c r="C328" s="290"/>
      <c r="D328" s="228"/>
      <c r="E328" s="228"/>
      <c r="F328" s="228"/>
      <c r="G328" s="228"/>
      <c r="H328" s="235"/>
      <c r="I328" s="291"/>
      <c r="J328" s="240"/>
    </row>
    <row r="329" spans="2:10" ht="16.5" thickBot="1" x14ac:dyDescent="0.3">
      <c r="B329" s="292" t="s">
        <v>43</v>
      </c>
      <c r="C329" s="8" t="s">
        <v>44</v>
      </c>
      <c r="D329" s="7"/>
      <c r="E329" s="6"/>
      <c r="F329" s="293"/>
      <c r="G329" s="331" t="s">
        <v>107</v>
      </c>
      <c r="H329" s="294" t="s">
        <v>108</v>
      </c>
      <c r="I329" s="294" t="s">
        <v>1069</v>
      </c>
      <c r="J329" s="295" t="s">
        <v>1060</v>
      </c>
    </row>
    <row r="330" spans="2:10" ht="15" customHeight="1" x14ac:dyDescent="0.25">
      <c r="B330" s="282" t="s">
        <v>115</v>
      </c>
      <c r="C330" s="395" t="s">
        <v>1115</v>
      </c>
      <c r="D330" s="396"/>
      <c r="E330" s="396"/>
      <c r="F330" s="397"/>
      <c r="G330" s="258" t="s">
        <v>1114</v>
      </c>
      <c r="H330" s="259">
        <v>190000</v>
      </c>
      <c r="I330" s="260">
        <v>0.01</v>
      </c>
      <c r="J330" s="297">
        <f>H330*I330</f>
        <v>1900</v>
      </c>
    </row>
    <row r="331" spans="2:10" ht="15" x14ac:dyDescent="0.25">
      <c r="B331" s="282"/>
      <c r="C331" s="11"/>
      <c r="D331" s="10"/>
      <c r="E331" s="10"/>
      <c r="F331" s="9"/>
      <c r="G331" s="258"/>
      <c r="H331" s="259"/>
      <c r="I331" s="260"/>
      <c r="J331" s="283"/>
    </row>
    <row r="332" spans="2:10" ht="15" x14ac:dyDescent="0.25">
      <c r="B332" s="282"/>
      <c r="C332" s="11"/>
      <c r="D332" s="10"/>
      <c r="E332" s="10"/>
      <c r="F332" s="9"/>
      <c r="G332" s="258"/>
      <c r="H332" s="259"/>
      <c r="I332" s="260"/>
      <c r="J332" s="283">
        <f>+G332*I332</f>
        <v>0</v>
      </c>
    </row>
    <row r="333" spans="2:10" ht="15" x14ac:dyDescent="0.25">
      <c r="B333" s="282"/>
      <c r="C333" s="11"/>
      <c r="D333" s="10"/>
      <c r="E333" s="10"/>
      <c r="F333" s="9"/>
      <c r="G333" s="258"/>
      <c r="H333" s="259"/>
      <c r="I333" s="260"/>
      <c r="J333" s="283">
        <f>+G333*I333</f>
        <v>0</v>
      </c>
    </row>
    <row r="334" spans="2:10" ht="15" x14ac:dyDescent="0.25">
      <c r="B334" s="284"/>
      <c r="C334" s="11"/>
      <c r="D334" s="10"/>
      <c r="E334" s="10"/>
      <c r="F334" s="9"/>
      <c r="G334" s="263"/>
      <c r="H334" s="264"/>
      <c r="I334" s="265"/>
      <c r="J334" s="285">
        <f>+G334*I334</f>
        <v>0</v>
      </c>
    </row>
    <row r="335" spans="2:10" ht="16.5" thickBot="1" x14ac:dyDescent="0.3">
      <c r="B335" s="227"/>
      <c r="C335" s="228"/>
      <c r="D335" s="228"/>
      <c r="E335" s="228"/>
      <c r="F335" s="228"/>
      <c r="G335" s="228"/>
      <c r="H335" s="235"/>
      <c r="I335" s="298" t="s">
        <v>1061</v>
      </c>
      <c r="J335" s="288">
        <f>ROUND((SUM(J330:J334)),2)</f>
        <v>1900</v>
      </c>
    </row>
    <row r="336" spans="2:10" ht="16.5" thickBot="1" x14ac:dyDescent="0.3">
      <c r="B336" s="289" t="s">
        <v>1070</v>
      </c>
      <c r="C336" s="290"/>
      <c r="D336" s="228"/>
      <c r="E336" s="228"/>
      <c r="F336" s="228"/>
      <c r="G336" s="228"/>
      <c r="H336" s="235"/>
      <c r="I336" s="291"/>
      <c r="J336" s="240"/>
    </row>
    <row r="337" spans="2:12" ht="16.5" thickBot="1" x14ac:dyDescent="0.3">
      <c r="B337" s="292" t="s">
        <v>43</v>
      </c>
      <c r="C337" s="8" t="s">
        <v>44</v>
      </c>
      <c r="D337" s="7"/>
      <c r="E337" s="6"/>
      <c r="F337" s="293"/>
      <c r="G337" s="294" t="s">
        <v>45</v>
      </c>
      <c r="H337" s="294" t="s">
        <v>109</v>
      </c>
      <c r="I337" s="294" t="s">
        <v>1059</v>
      </c>
      <c r="J337" s="295" t="s">
        <v>1060</v>
      </c>
    </row>
    <row r="338" spans="2:12" ht="15" customHeight="1" x14ac:dyDescent="0.25">
      <c r="B338" s="282" t="s">
        <v>71</v>
      </c>
      <c r="C338" s="5" t="str">
        <f>VLOOKUP(B338,CUADRILLAS!$B$4:$G$19,2,)</f>
        <v>CUADRILLA I (Oficial + ayudante)</v>
      </c>
      <c r="D338" s="4"/>
      <c r="E338" s="4"/>
      <c r="F338" s="3"/>
      <c r="G338" s="259" t="str">
        <f>VLOOKUP(B338,CUADRILLAS!$B$4:$G$19,5,FALSE)</f>
        <v>H</v>
      </c>
      <c r="H338" s="296">
        <f>VLOOKUP(B338,CUADRILLAS!$B$4:$G$19,6,FALSE)</f>
        <v>63785.417685</v>
      </c>
      <c r="I338" s="260">
        <v>0.4466042327830767</v>
      </c>
      <c r="J338" s="297">
        <f>H338*I338</f>
        <v>28486.837527957519</v>
      </c>
    </row>
    <row r="339" spans="2:12" ht="15" x14ac:dyDescent="0.25">
      <c r="B339" s="284"/>
      <c r="C339" s="2"/>
      <c r="D339" s="1"/>
      <c r="E339" s="1"/>
      <c r="F339" s="15"/>
      <c r="G339" s="263"/>
      <c r="H339" s="264"/>
      <c r="I339" s="265"/>
      <c r="J339" s="285"/>
    </row>
    <row r="340" spans="2:12" ht="15" x14ac:dyDescent="0.25">
      <c r="B340" s="284"/>
      <c r="C340" s="299"/>
      <c r="D340" s="300"/>
      <c r="E340" s="300"/>
      <c r="F340" s="301"/>
      <c r="G340" s="263"/>
      <c r="H340" s="264"/>
      <c r="I340" s="265"/>
      <c r="J340" s="285"/>
    </row>
    <row r="341" spans="2:12" ht="15" x14ac:dyDescent="0.25">
      <c r="B341" s="284"/>
      <c r="C341" s="299"/>
      <c r="D341" s="300"/>
      <c r="E341" s="300"/>
      <c r="F341" s="301"/>
      <c r="G341" s="263"/>
      <c r="H341" s="264"/>
      <c r="I341" s="265"/>
      <c r="J341" s="285"/>
    </row>
    <row r="342" spans="2:12" ht="15" x14ac:dyDescent="0.25">
      <c r="B342" s="284"/>
      <c r="C342" s="299"/>
      <c r="D342" s="300"/>
      <c r="E342" s="300"/>
      <c r="F342" s="301"/>
      <c r="G342" s="263"/>
      <c r="H342" s="264"/>
      <c r="I342" s="265"/>
      <c r="J342" s="285">
        <f>+H342*I342</f>
        <v>0</v>
      </c>
    </row>
    <row r="343" spans="2:12" ht="15.75" x14ac:dyDescent="0.25">
      <c r="B343" s="227"/>
      <c r="C343" s="228"/>
      <c r="D343" s="228"/>
      <c r="E343" s="228"/>
      <c r="F343" s="228"/>
      <c r="G343" s="286"/>
      <c r="H343" s="235"/>
      <c r="I343" s="302" t="s">
        <v>1061</v>
      </c>
      <c r="J343" s="303">
        <f>SUM(J338:J342)</f>
        <v>28486.837527957519</v>
      </c>
    </row>
    <row r="344" spans="2:12" ht="15.75" thickBot="1" x14ac:dyDescent="0.3">
      <c r="B344" s="227"/>
      <c r="C344" s="228"/>
      <c r="D344" s="228"/>
      <c r="E344" s="228"/>
      <c r="F344" s="228"/>
      <c r="G344" s="286"/>
      <c r="H344" s="235"/>
      <c r="I344" s="236"/>
      <c r="J344" s="240"/>
    </row>
    <row r="345" spans="2:12" ht="16.5" thickBot="1" x14ac:dyDescent="0.3">
      <c r="B345" s="227"/>
      <c r="C345" s="228"/>
      <c r="D345" s="228"/>
      <c r="E345" s="228"/>
      <c r="F345" s="228"/>
      <c r="G345" s="14" t="s">
        <v>1071</v>
      </c>
      <c r="H345" s="13"/>
      <c r="I345" s="12"/>
      <c r="J345" s="304">
        <f>ROUND((SUM(J343+J335+J327+J320)),2)</f>
        <v>54527</v>
      </c>
      <c r="L345" s="95">
        <v>54527</v>
      </c>
    </row>
    <row r="346" spans="2:12" ht="16.5" thickBot="1" x14ac:dyDescent="0.3">
      <c r="B346" s="227"/>
      <c r="C346" s="228"/>
      <c r="D346" s="228"/>
      <c r="E346" s="228"/>
      <c r="F346" s="228"/>
      <c r="G346" s="394"/>
      <c r="H346" s="394"/>
      <c r="I346" s="305"/>
      <c r="J346" s="304"/>
    </row>
    <row r="347" spans="2:12" ht="16.5" thickBot="1" x14ac:dyDescent="0.3">
      <c r="B347" s="227"/>
      <c r="C347" s="228"/>
      <c r="D347" s="228"/>
      <c r="E347" s="228"/>
      <c r="F347" s="228"/>
      <c r="G347" s="14" t="s">
        <v>1072</v>
      </c>
      <c r="H347" s="13"/>
      <c r="I347" s="12"/>
      <c r="J347" s="306">
        <f>+J345+J346</f>
        <v>54527</v>
      </c>
    </row>
    <row r="348" spans="2:12" x14ac:dyDescent="0.25">
      <c r="B348" s="307"/>
      <c r="C348" s="216"/>
      <c r="D348" s="216"/>
      <c r="E348" s="216"/>
      <c r="F348" s="216"/>
      <c r="G348" s="216"/>
      <c r="H348" s="216"/>
      <c r="I348" s="216"/>
      <c r="J348" s="308"/>
    </row>
    <row r="349" spans="2:12" x14ac:dyDescent="0.25">
      <c r="B349" s="307"/>
      <c r="C349" s="216"/>
      <c r="D349" s="216"/>
      <c r="E349" s="216"/>
      <c r="F349" s="216"/>
      <c r="G349" s="216"/>
      <c r="H349" s="216"/>
      <c r="I349" s="216"/>
      <c r="J349" s="308"/>
    </row>
    <row r="350" spans="2:12" ht="14.25" thickBot="1" x14ac:dyDescent="0.3">
      <c r="B350" s="309"/>
      <c r="C350" s="310"/>
      <c r="D350" s="310"/>
      <c r="E350" s="310"/>
      <c r="F350" s="310"/>
      <c r="G350" s="310"/>
      <c r="H350" s="310"/>
      <c r="I350" s="310"/>
      <c r="J350" s="311"/>
    </row>
    <row r="351" spans="2:12" ht="14.25" thickBot="1" x14ac:dyDescent="0.3"/>
    <row r="352" spans="2:12" ht="39.75" customHeight="1" x14ac:dyDescent="0.25">
      <c r="B352" s="458"/>
      <c r="C352" s="459"/>
      <c r="D352" s="461" t="s">
        <v>1052</v>
      </c>
      <c r="E352" s="462"/>
      <c r="F352" s="462"/>
      <c r="G352" s="462"/>
      <c r="H352" s="463"/>
      <c r="I352" s="464"/>
      <c r="J352" s="465"/>
    </row>
    <row r="353" spans="2:10" ht="14.25" thickBot="1" x14ac:dyDescent="0.3">
      <c r="B353" s="460"/>
      <c r="C353" s="422"/>
      <c r="D353" s="426"/>
      <c r="E353" s="427"/>
      <c r="F353" s="427"/>
      <c r="G353" s="427"/>
      <c r="H353" s="428"/>
      <c r="I353" s="431"/>
      <c r="J353" s="466"/>
    </row>
    <row r="354" spans="2:10" ht="16.5" thickBot="1" x14ac:dyDescent="0.3">
      <c r="B354" s="218"/>
      <c r="C354" s="219"/>
      <c r="D354" s="219"/>
      <c r="E354" s="219"/>
      <c r="F354" s="219"/>
      <c r="G354" s="219"/>
      <c r="H354" s="219"/>
      <c r="I354" s="219"/>
      <c r="J354" s="220"/>
    </row>
    <row r="355" spans="2:10" ht="16.5" thickBot="1" x14ac:dyDescent="0.3">
      <c r="B355" s="433" t="s">
        <v>1053</v>
      </c>
      <c r="C355" s="434"/>
      <c r="D355" s="222"/>
      <c r="E355" s="223" t="s">
        <v>171</v>
      </c>
      <c r="F355" s="222">
        <v>30</v>
      </c>
      <c r="G355" s="222" t="s">
        <v>462</v>
      </c>
      <c r="H355" s="223">
        <v>4</v>
      </c>
      <c r="I355" s="224" t="s">
        <v>1054</v>
      </c>
      <c r="J355" s="225">
        <v>2026</v>
      </c>
    </row>
    <row r="356" spans="2:10" ht="15.75" thickBot="1" x14ac:dyDescent="0.3">
      <c r="B356" s="227"/>
      <c r="C356" s="228"/>
      <c r="D356" s="228"/>
      <c r="E356" s="228"/>
      <c r="F356" s="228"/>
      <c r="G356" s="228"/>
      <c r="H356" s="228"/>
      <c r="I356" s="228"/>
      <c r="J356" s="229"/>
    </row>
    <row r="357" spans="2:10" x14ac:dyDescent="0.25">
      <c r="B357" s="451" t="s">
        <v>1055</v>
      </c>
      <c r="C357" s="436"/>
      <c r="D357" s="441" t="s">
        <v>1110</v>
      </c>
      <c r="E357" s="442"/>
      <c r="F357" s="442"/>
      <c r="G357" s="442"/>
      <c r="H357" s="442"/>
      <c r="I357" s="442"/>
      <c r="J357" s="454"/>
    </row>
    <row r="358" spans="2:10" x14ac:dyDescent="0.25">
      <c r="B358" s="452"/>
      <c r="C358" s="438"/>
      <c r="D358" s="444"/>
      <c r="E358" s="445"/>
      <c r="F358" s="445"/>
      <c r="G358" s="445"/>
      <c r="H358" s="445"/>
      <c r="I358" s="445"/>
      <c r="J358" s="455"/>
    </row>
    <row r="359" spans="2:10" ht="84.75" customHeight="1" thickBot="1" x14ac:dyDescent="0.3">
      <c r="B359" s="453"/>
      <c r="C359" s="440"/>
      <c r="D359" s="447"/>
      <c r="E359" s="448"/>
      <c r="F359" s="448"/>
      <c r="G359" s="448"/>
      <c r="H359" s="448"/>
      <c r="I359" s="448"/>
      <c r="J359" s="456"/>
    </row>
    <row r="360" spans="2:10" ht="16.5" thickBot="1" x14ac:dyDescent="0.3">
      <c r="B360" s="433"/>
      <c r="C360" s="405"/>
      <c r="D360" s="405"/>
      <c r="E360" s="405"/>
      <c r="F360" s="405"/>
      <c r="G360" s="405"/>
      <c r="H360" s="405"/>
      <c r="I360" s="405"/>
      <c r="J360" s="457"/>
    </row>
    <row r="361" spans="2:10" ht="48.6" customHeight="1" thickBot="1" x14ac:dyDescent="0.3">
      <c r="B361" s="231" t="s">
        <v>1056</v>
      </c>
      <c r="C361" s="232">
        <v>3.3</v>
      </c>
      <c r="D361" s="407" t="str">
        <f>'ppto oficial '!B15</f>
        <v xml:space="preserve">Tratamiento de humedad de muros hasta 1,2 m de altura con sika impermur  o similar </v>
      </c>
      <c r="E361" s="408"/>
      <c r="F361" s="408"/>
      <c r="G361" s="408"/>
      <c r="H361" s="409"/>
      <c r="I361" s="232" t="s">
        <v>1057</v>
      </c>
      <c r="J361" s="233" t="str">
        <f>VLOOKUP(C361,'ppto oficial '!$A$5:$D$30,3,FALSE)</f>
        <v>m2</v>
      </c>
    </row>
    <row r="362" spans="2:10" ht="15.75" thickBot="1" x14ac:dyDescent="0.3">
      <c r="B362" s="227"/>
      <c r="C362" s="228"/>
      <c r="D362" s="228"/>
      <c r="E362" s="228"/>
      <c r="F362" s="228"/>
      <c r="G362" s="228"/>
      <c r="H362" s="235"/>
      <c r="I362" s="236"/>
      <c r="J362" s="237"/>
    </row>
    <row r="363" spans="2:10" ht="16.5" thickBot="1" x14ac:dyDescent="0.3">
      <c r="B363" s="238" t="s">
        <v>1058</v>
      </c>
      <c r="C363" s="239"/>
      <c r="D363" s="228"/>
      <c r="E363" s="228"/>
      <c r="F363" s="228"/>
      <c r="G363" s="228"/>
      <c r="H363" s="235"/>
      <c r="I363" s="236"/>
      <c r="J363" s="240"/>
    </row>
    <row r="364" spans="2:10" ht="16.5" thickBot="1" x14ac:dyDescent="0.3">
      <c r="B364" s="318" t="s">
        <v>43</v>
      </c>
      <c r="C364" s="410" t="s">
        <v>2</v>
      </c>
      <c r="D364" s="411"/>
      <c r="E364" s="412"/>
      <c r="F364" s="319"/>
      <c r="G364" s="320" t="s">
        <v>105</v>
      </c>
      <c r="H364" s="320" t="s">
        <v>106</v>
      </c>
      <c r="I364" s="320" t="s">
        <v>1059</v>
      </c>
      <c r="J364" s="321" t="s">
        <v>1060</v>
      </c>
    </row>
    <row r="365" spans="2:10" ht="15" x14ac:dyDescent="0.25">
      <c r="B365" s="282" t="s">
        <v>113</v>
      </c>
      <c r="C365" s="413" t="s">
        <v>114</v>
      </c>
      <c r="D365" s="414"/>
      <c r="E365" s="414"/>
      <c r="F365" s="415"/>
      <c r="G365" s="251" t="s">
        <v>1073</v>
      </c>
      <c r="H365" s="252">
        <f>+J388</f>
        <v>8951.8529498201842</v>
      </c>
      <c r="I365" s="314">
        <v>0.05</v>
      </c>
      <c r="J365" s="315">
        <v>365.85710977962196</v>
      </c>
    </row>
    <row r="366" spans="2:10" ht="15" customHeight="1" x14ac:dyDescent="0.25">
      <c r="B366" s="262" t="s">
        <v>411</v>
      </c>
      <c r="C366" s="416" t="str">
        <f>VLOOKUP(B366,INSUMOS!$K$4:$N$135,2,FALSE)</f>
        <v>Hidrolavadora eléctrica</v>
      </c>
      <c r="D366" s="417"/>
      <c r="E366" s="417"/>
      <c r="F366" s="418"/>
      <c r="G366" s="251" t="str">
        <f>VLOOKUP(B366,INSUMOS!$K$4:$N$135,3,FALSE)</f>
        <v>Día</v>
      </c>
      <c r="H366" s="252">
        <f>VLOOKUP(B366,INSUMOS!$K$4:$N$135,4,FALSE)</f>
        <v>76800</v>
      </c>
      <c r="I366" s="322">
        <f>+I388/8</f>
        <v>1.7542906503388259E-2</v>
      </c>
      <c r="J366" s="323">
        <f>+H366*I366</f>
        <v>1347.2952194602183</v>
      </c>
    </row>
    <row r="367" spans="2:10" ht="15" x14ac:dyDescent="0.25">
      <c r="B367" s="262"/>
      <c r="C367" s="416"/>
      <c r="D367" s="417"/>
      <c r="E367" s="417"/>
      <c r="F367" s="418"/>
      <c r="G367" s="251"/>
      <c r="H367" s="252"/>
      <c r="I367" s="322"/>
      <c r="J367" s="323"/>
    </row>
    <row r="368" spans="2:10" ht="15" x14ac:dyDescent="0.25">
      <c r="B368" s="262"/>
      <c r="C368" s="398"/>
      <c r="D368" s="399"/>
      <c r="E368" s="399"/>
      <c r="F368" s="400"/>
      <c r="G368" s="263"/>
      <c r="H368" s="264"/>
      <c r="I368" s="260"/>
      <c r="J368" s="261"/>
    </row>
    <row r="369" spans="2:10" ht="15" x14ac:dyDescent="0.25">
      <c r="B369" s="262"/>
      <c r="C369" s="11"/>
      <c r="D369" s="10"/>
      <c r="E369" s="10"/>
      <c r="F369" s="9"/>
      <c r="G369" s="263"/>
      <c r="H369" s="264"/>
      <c r="I369" s="265"/>
      <c r="J369" s="261"/>
    </row>
    <row r="370" spans="2:10" ht="16.5" thickBot="1" x14ac:dyDescent="0.3">
      <c r="B370" s="266"/>
      <c r="C370" s="228"/>
      <c r="D370" s="267"/>
      <c r="E370" s="267"/>
      <c r="F370" s="267"/>
      <c r="G370" s="268"/>
      <c r="H370" s="269"/>
      <c r="I370" s="270" t="s">
        <v>1061</v>
      </c>
      <c r="J370" s="271">
        <f>ROUND((SUM(J365:J369)),2)</f>
        <v>1713.15</v>
      </c>
    </row>
    <row r="371" spans="2:10" ht="16.5" thickBot="1" x14ac:dyDescent="0.3">
      <c r="B371" s="272" t="s">
        <v>1062</v>
      </c>
      <c r="C371" s="273"/>
      <c r="D371" s="274"/>
      <c r="E371" s="274"/>
      <c r="F371" s="274"/>
      <c r="G371" s="274"/>
      <c r="H371" s="275"/>
      <c r="I371" s="276"/>
      <c r="J371" s="277"/>
    </row>
    <row r="372" spans="2:10" ht="16.5" thickBot="1" x14ac:dyDescent="0.3">
      <c r="B372" s="278" t="s">
        <v>43</v>
      </c>
      <c r="C372" s="470" t="s">
        <v>44</v>
      </c>
      <c r="D372" s="471"/>
      <c r="E372" s="472"/>
      <c r="F372" s="328"/>
      <c r="G372" s="329" t="s">
        <v>45</v>
      </c>
      <c r="H372" s="329" t="s">
        <v>109</v>
      </c>
      <c r="I372" s="329" t="s">
        <v>4</v>
      </c>
      <c r="J372" s="330" t="s">
        <v>1060</v>
      </c>
    </row>
    <row r="373" spans="2:10" ht="15.75" x14ac:dyDescent="0.25">
      <c r="B373" s="334"/>
      <c r="C373" s="450" t="s">
        <v>1079</v>
      </c>
      <c r="D373" s="450"/>
      <c r="E373" s="450"/>
      <c r="F373" s="450"/>
      <c r="G373" s="335" t="s">
        <v>160</v>
      </c>
      <c r="H373" s="336">
        <v>63725</v>
      </c>
      <c r="I373" s="336">
        <v>0.4</v>
      </c>
      <c r="J373" s="336">
        <f>+I373*H373</f>
        <v>25490</v>
      </c>
    </row>
    <row r="374" spans="2:10" ht="15" x14ac:dyDescent="0.25">
      <c r="B374" s="284"/>
      <c r="C374" s="467"/>
      <c r="D374" s="468"/>
      <c r="E374" s="468"/>
      <c r="F374" s="469"/>
      <c r="G374" s="258"/>
      <c r="H374" s="259"/>
      <c r="I374" s="260"/>
      <c r="J374" s="283"/>
    </row>
    <row r="375" spans="2:10" ht="15" x14ac:dyDescent="0.25">
      <c r="B375" s="284"/>
      <c r="C375" s="11"/>
      <c r="D375" s="10"/>
      <c r="E375" s="10"/>
      <c r="F375" s="9"/>
      <c r="G375" s="263"/>
      <c r="H375" s="264"/>
      <c r="I375" s="265"/>
      <c r="J375" s="283"/>
    </row>
    <row r="376" spans="2:10" ht="15" x14ac:dyDescent="0.25">
      <c r="B376" s="284"/>
      <c r="C376" s="11"/>
      <c r="D376" s="10"/>
      <c r="E376" s="10"/>
      <c r="F376" s="9"/>
      <c r="G376" s="263"/>
      <c r="H376" s="264"/>
      <c r="I376" s="265"/>
      <c r="J376" s="283"/>
    </row>
    <row r="377" spans="2:10" ht="16.5" thickBot="1" x14ac:dyDescent="0.3">
      <c r="B377" s="227"/>
      <c r="C377" s="228"/>
      <c r="D377" s="228"/>
      <c r="E377" s="228"/>
      <c r="F377" s="228"/>
      <c r="G377" s="286"/>
      <c r="H377" s="287"/>
      <c r="I377" s="270" t="s">
        <v>1061</v>
      </c>
      <c r="J377" s="288">
        <f>+J373</f>
        <v>25490</v>
      </c>
    </row>
    <row r="378" spans="2:10" ht="16.5" thickBot="1" x14ac:dyDescent="0.3">
      <c r="B378" s="289" t="s">
        <v>1068</v>
      </c>
      <c r="C378" s="290"/>
      <c r="D378" s="228"/>
      <c r="E378" s="228"/>
      <c r="F378" s="228"/>
      <c r="G378" s="228"/>
      <c r="H378" s="235"/>
      <c r="I378" s="291"/>
      <c r="J378" s="240"/>
    </row>
    <row r="379" spans="2:10" ht="16.5" thickBot="1" x14ac:dyDescent="0.3">
      <c r="B379" s="292" t="s">
        <v>43</v>
      </c>
      <c r="C379" s="8" t="s">
        <v>44</v>
      </c>
      <c r="D379" s="7"/>
      <c r="E379" s="6"/>
      <c r="F379" s="293"/>
      <c r="G379" s="331" t="s">
        <v>107</v>
      </c>
      <c r="H379" s="294" t="s">
        <v>108</v>
      </c>
      <c r="I379" s="294" t="s">
        <v>1069</v>
      </c>
      <c r="J379" s="295" t="s">
        <v>1060</v>
      </c>
    </row>
    <row r="380" spans="2:10" ht="15" customHeight="1" x14ac:dyDescent="0.25">
      <c r="B380" s="282" t="s">
        <v>115</v>
      </c>
      <c r="C380" s="395" t="s">
        <v>1115</v>
      </c>
      <c r="D380" s="396"/>
      <c r="E380" s="396"/>
      <c r="F380" s="397"/>
      <c r="G380" s="258" t="s">
        <v>1114</v>
      </c>
      <c r="H380" s="259">
        <v>190000</v>
      </c>
      <c r="I380" s="260">
        <v>0.01</v>
      </c>
      <c r="J380" s="297">
        <f>H380*I380</f>
        <v>1900</v>
      </c>
    </row>
    <row r="381" spans="2:10" ht="15" x14ac:dyDescent="0.25">
      <c r="B381" s="282"/>
      <c r="C381" s="11"/>
      <c r="D381" s="10"/>
      <c r="E381" s="10"/>
      <c r="F381" s="9"/>
      <c r="G381" s="258"/>
      <c r="H381" s="259"/>
      <c r="I381" s="260"/>
      <c r="J381" s="283"/>
    </row>
    <row r="382" spans="2:10" ht="15" x14ac:dyDescent="0.25">
      <c r="B382" s="282"/>
      <c r="C382" s="11"/>
      <c r="D382" s="10"/>
      <c r="E382" s="10"/>
      <c r="F382" s="9"/>
      <c r="G382" s="258"/>
      <c r="H382" s="259"/>
      <c r="I382" s="260"/>
      <c r="J382" s="283">
        <f>+G382*I382</f>
        <v>0</v>
      </c>
    </row>
    <row r="383" spans="2:10" ht="15" x14ac:dyDescent="0.25">
      <c r="B383" s="282"/>
      <c r="C383" s="11"/>
      <c r="D383" s="10"/>
      <c r="E383" s="10"/>
      <c r="F383" s="9"/>
      <c r="G383" s="258"/>
      <c r="H383" s="259"/>
      <c r="I383" s="260"/>
      <c r="J383" s="283">
        <f>+G383*I383</f>
        <v>0</v>
      </c>
    </row>
    <row r="384" spans="2:10" ht="15" x14ac:dyDescent="0.25">
      <c r="B384" s="284"/>
      <c r="C384" s="11"/>
      <c r="D384" s="10"/>
      <c r="E384" s="10"/>
      <c r="F384" s="9"/>
      <c r="G384" s="263"/>
      <c r="H384" s="264"/>
      <c r="I384" s="265"/>
      <c r="J384" s="285">
        <f>+G384*I384</f>
        <v>0</v>
      </c>
    </row>
    <row r="385" spans="2:12" ht="16.5" thickBot="1" x14ac:dyDescent="0.3">
      <c r="B385" s="227"/>
      <c r="C385" s="228"/>
      <c r="D385" s="228"/>
      <c r="E385" s="228"/>
      <c r="F385" s="228"/>
      <c r="G385" s="228"/>
      <c r="H385" s="235"/>
      <c r="I385" s="298" t="s">
        <v>1061</v>
      </c>
      <c r="J385" s="288">
        <f>ROUND((SUM(J380:J384)),2)</f>
        <v>1900</v>
      </c>
    </row>
    <row r="386" spans="2:12" ht="16.5" thickBot="1" x14ac:dyDescent="0.3">
      <c r="B386" s="289" t="s">
        <v>1070</v>
      </c>
      <c r="C386" s="290"/>
      <c r="D386" s="228"/>
      <c r="E386" s="228"/>
      <c r="F386" s="228"/>
      <c r="G386" s="228"/>
      <c r="H386" s="235"/>
      <c r="I386" s="291"/>
      <c r="J386" s="240"/>
    </row>
    <row r="387" spans="2:12" ht="16.5" thickBot="1" x14ac:dyDescent="0.3">
      <c r="B387" s="292" t="s">
        <v>43</v>
      </c>
      <c r="C387" s="8" t="s">
        <v>44</v>
      </c>
      <c r="D387" s="7"/>
      <c r="E387" s="6"/>
      <c r="F387" s="293"/>
      <c r="G387" s="294" t="s">
        <v>45</v>
      </c>
      <c r="H387" s="294" t="s">
        <v>109</v>
      </c>
      <c r="I387" s="294" t="s">
        <v>1059</v>
      </c>
      <c r="J387" s="295" t="s">
        <v>1060</v>
      </c>
    </row>
    <row r="388" spans="2:12" ht="15" customHeight="1" x14ac:dyDescent="0.25">
      <c r="B388" s="282" t="s">
        <v>71</v>
      </c>
      <c r="C388" s="5" t="str">
        <f>VLOOKUP(B388,CUADRILLAS!$B$4:$G$19,2,)</f>
        <v>CUADRILLA I (Oficial + ayudante)</v>
      </c>
      <c r="D388" s="4"/>
      <c r="E388" s="4"/>
      <c r="F388" s="3"/>
      <c r="G388" s="259" t="str">
        <f>VLOOKUP(B388,CUADRILLAS!$B$4:$G$19,5,FALSE)</f>
        <v>H</v>
      </c>
      <c r="H388" s="296">
        <f>VLOOKUP(B388,CUADRILLAS!$B$4:$G$19,6,FALSE)</f>
        <v>63785.417685</v>
      </c>
      <c r="I388" s="260">
        <v>0.14034325202710607</v>
      </c>
      <c r="J388" s="297">
        <f>H388*I388</f>
        <v>8951.8529498201842</v>
      </c>
    </row>
    <row r="389" spans="2:12" ht="15" x14ac:dyDescent="0.25">
      <c r="B389" s="284"/>
      <c r="C389" s="2"/>
      <c r="D389" s="1"/>
      <c r="E389" s="1"/>
      <c r="F389" s="15"/>
      <c r="G389" s="263"/>
      <c r="H389" s="264"/>
      <c r="I389" s="265"/>
      <c r="J389" s="285"/>
    </row>
    <row r="390" spans="2:12" ht="15" x14ac:dyDescent="0.25">
      <c r="B390" s="284"/>
      <c r="C390" s="299"/>
      <c r="D390" s="300"/>
      <c r="E390" s="300"/>
      <c r="F390" s="301"/>
      <c r="G390" s="263"/>
      <c r="H390" s="264"/>
      <c r="I390" s="265"/>
      <c r="J390" s="285"/>
    </row>
    <row r="391" spans="2:12" ht="15" x14ac:dyDescent="0.25">
      <c r="B391" s="284"/>
      <c r="C391" s="299"/>
      <c r="D391" s="300"/>
      <c r="E391" s="300"/>
      <c r="F391" s="301"/>
      <c r="G391" s="263"/>
      <c r="H391" s="264"/>
      <c r="I391" s="265"/>
      <c r="J391" s="285"/>
    </row>
    <row r="392" spans="2:12" ht="15" x14ac:dyDescent="0.25">
      <c r="B392" s="284"/>
      <c r="C392" s="299"/>
      <c r="D392" s="300"/>
      <c r="E392" s="300"/>
      <c r="F392" s="301"/>
      <c r="G392" s="263"/>
      <c r="H392" s="264"/>
      <c r="I392" s="265"/>
      <c r="J392" s="285">
        <f>+H392*I392</f>
        <v>0</v>
      </c>
    </row>
    <row r="393" spans="2:12" ht="15.75" x14ac:dyDescent="0.25">
      <c r="B393" s="227"/>
      <c r="C393" s="228"/>
      <c r="D393" s="228"/>
      <c r="E393" s="228"/>
      <c r="F393" s="228"/>
      <c r="G393" s="286"/>
      <c r="H393" s="235"/>
      <c r="I393" s="302" t="s">
        <v>1061</v>
      </c>
      <c r="J393" s="303">
        <f>SUM(J388:J392)</f>
        <v>8951.8529498201842</v>
      </c>
    </row>
    <row r="394" spans="2:12" ht="15.75" thickBot="1" x14ac:dyDescent="0.3">
      <c r="B394" s="227"/>
      <c r="C394" s="228"/>
      <c r="D394" s="228"/>
      <c r="E394" s="228"/>
      <c r="F394" s="228"/>
      <c r="G394" s="286"/>
      <c r="H394" s="235"/>
      <c r="I394" s="236"/>
      <c r="J394" s="240"/>
    </row>
    <row r="395" spans="2:12" ht="16.5" thickBot="1" x14ac:dyDescent="0.3">
      <c r="B395" s="227"/>
      <c r="C395" s="228"/>
      <c r="D395" s="228"/>
      <c r="E395" s="228"/>
      <c r="F395" s="228"/>
      <c r="G395" s="14" t="s">
        <v>1071</v>
      </c>
      <c r="H395" s="13"/>
      <c r="I395" s="12"/>
      <c r="J395" s="304">
        <f>ROUND((SUM(J393+J385+J377+J370)),2)</f>
        <v>38055</v>
      </c>
      <c r="L395" s="95">
        <v>38055</v>
      </c>
    </row>
    <row r="396" spans="2:12" ht="16.5" thickBot="1" x14ac:dyDescent="0.3">
      <c r="B396" s="227"/>
      <c r="C396" s="228"/>
      <c r="D396" s="228"/>
      <c r="E396" s="228"/>
      <c r="F396" s="228"/>
      <c r="G396" s="394"/>
      <c r="H396" s="394"/>
      <c r="I396" s="305"/>
      <c r="J396" s="304"/>
    </row>
    <row r="397" spans="2:12" ht="16.5" thickBot="1" x14ac:dyDescent="0.3">
      <c r="B397" s="227"/>
      <c r="C397" s="228"/>
      <c r="D397" s="228"/>
      <c r="E397" s="228"/>
      <c r="F397" s="228"/>
      <c r="G397" s="14" t="s">
        <v>1072</v>
      </c>
      <c r="H397" s="13"/>
      <c r="I397" s="12"/>
      <c r="J397" s="306">
        <f>+J395+J396</f>
        <v>38055</v>
      </c>
    </row>
    <row r="398" spans="2:12" x14ac:dyDescent="0.25">
      <c r="B398" s="307"/>
      <c r="C398" s="216"/>
      <c r="D398" s="216"/>
      <c r="E398" s="216"/>
      <c r="F398" s="216"/>
      <c r="G398" s="216"/>
      <c r="H398" s="216"/>
      <c r="I398" s="216"/>
      <c r="J398" s="308"/>
    </row>
    <row r="399" spans="2:12" x14ac:dyDescent="0.25">
      <c r="B399" s="307"/>
      <c r="C399" s="216"/>
      <c r="D399" s="216"/>
      <c r="E399" s="216"/>
      <c r="F399" s="216"/>
      <c r="G399" s="216"/>
      <c r="H399" s="216"/>
      <c r="I399" s="216"/>
      <c r="J399" s="308"/>
    </row>
    <row r="400" spans="2:12" ht="14.25" thickBot="1" x14ac:dyDescent="0.3">
      <c r="B400" s="309"/>
      <c r="C400" s="310"/>
      <c r="D400" s="310"/>
      <c r="E400" s="310"/>
      <c r="F400" s="310"/>
      <c r="G400" s="310"/>
      <c r="H400" s="310"/>
      <c r="I400" s="310"/>
      <c r="J400" s="311"/>
    </row>
    <row r="401" spans="2:10" ht="14.25" thickBot="1" x14ac:dyDescent="0.3"/>
    <row r="402" spans="2:10" ht="39.75" customHeight="1" x14ac:dyDescent="0.25">
      <c r="B402" s="458"/>
      <c r="C402" s="459"/>
      <c r="D402" s="461" t="s">
        <v>1052</v>
      </c>
      <c r="E402" s="462"/>
      <c r="F402" s="462"/>
      <c r="G402" s="462"/>
      <c r="H402" s="463"/>
      <c r="I402" s="464"/>
      <c r="J402" s="465"/>
    </row>
    <row r="403" spans="2:10" ht="14.25" thickBot="1" x14ac:dyDescent="0.3">
      <c r="B403" s="460"/>
      <c r="C403" s="422"/>
      <c r="D403" s="426"/>
      <c r="E403" s="427"/>
      <c r="F403" s="427"/>
      <c r="G403" s="427"/>
      <c r="H403" s="428"/>
      <c r="I403" s="431"/>
      <c r="J403" s="466"/>
    </row>
    <row r="404" spans="2:10" ht="16.5" thickBot="1" x14ac:dyDescent="0.3">
      <c r="B404" s="218"/>
      <c r="C404" s="219"/>
      <c r="D404" s="219"/>
      <c r="E404" s="219"/>
      <c r="F404" s="219"/>
      <c r="G404" s="219"/>
      <c r="H404" s="219"/>
      <c r="I404" s="219"/>
      <c r="J404" s="220"/>
    </row>
    <row r="405" spans="2:10" ht="16.5" thickBot="1" x14ac:dyDescent="0.3">
      <c r="B405" s="433" t="s">
        <v>1053</v>
      </c>
      <c r="C405" s="434"/>
      <c r="D405" s="222"/>
      <c r="E405" s="223" t="s">
        <v>171</v>
      </c>
      <c r="F405" s="222">
        <v>30</v>
      </c>
      <c r="G405" s="222" t="s">
        <v>462</v>
      </c>
      <c r="H405" s="223">
        <v>4</v>
      </c>
      <c r="I405" s="224" t="s">
        <v>1054</v>
      </c>
      <c r="J405" s="225">
        <v>2026</v>
      </c>
    </row>
    <row r="406" spans="2:10" ht="15.75" thickBot="1" x14ac:dyDescent="0.3">
      <c r="B406" s="227"/>
      <c r="C406" s="228"/>
      <c r="D406" s="228"/>
      <c r="E406" s="228"/>
      <c r="F406" s="228"/>
      <c r="G406" s="228"/>
      <c r="H406" s="228"/>
      <c r="I406" s="228"/>
      <c r="J406" s="229"/>
    </row>
    <row r="407" spans="2:10" x14ac:dyDescent="0.25">
      <c r="B407" s="451" t="s">
        <v>1055</v>
      </c>
      <c r="C407" s="436"/>
      <c r="D407" s="441" t="s">
        <v>1110</v>
      </c>
      <c r="E407" s="442"/>
      <c r="F407" s="442"/>
      <c r="G407" s="442"/>
      <c r="H407" s="442"/>
      <c r="I407" s="442"/>
      <c r="J407" s="454"/>
    </row>
    <row r="408" spans="2:10" x14ac:dyDescent="0.25">
      <c r="B408" s="452"/>
      <c r="C408" s="438"/>
      <c r="D408" s="444"/>
      <c r="E408" s="445"/>
      <c r="F408" s="445"/>
      <c r="G408" s="445"/>
      <c r="H408" s="445"/>
      <c r="I408" s="445"/>
      <c r="J408" s="455"/>
    </row>
    <row r="409" spans="2:10" ht="84.75" customHeight="1" thickBot="1" x14ac:dyDescent="0.3">
      <c r="B409" s="453"/>
      <c r="C409" s="440"/>
      <c r="D409" s="447"/>
      <c r="E409" s="448"/>
      <c r="F409" s="448"/>
      <c r="G409" s="448"/>
      <c r="H409" s="448"/>
      <c r="I409" s="448"/>
      <c r="J409" s="456"/>
    </row>
    <row r="410" spans="2:10" ht="16.5" thickBot="1" x14ac:dyDescent="0.3">
      <c r="B410" s="433"/>
      <c r="C410" s="405"/>
      <c r="D410" s="405"/>
      <c r="E410" s="405"/>
      <c r="F410" s="405"/>
      <c r="G410" s="405"/>
      <c r="H410" s="405"/>
      <c r="I410" s="405"/>
      <c r="J410" s="457"/>
    </row>
    <row r="411" spans="2:10" ht="34.5" customHeight="1" thickBot="1" x14ac:dyDescent="0.3">
      <c r="B411" s="231" t="s">
        <v>1056</v>
      </c>
      <c r="C411" s="232">
        <v>3.4</v>
      </c>
      <c r="D411" s="407" t="str">
        <f>'ppto oficial '!B16</f>
        <v>Retiro pelicula polarizada de ventanales (incluye limpieza de los vidrios)</v>
      </c>
      <c r="E411" s="408"/>
      <c r="F411" s="408"/>
      <c r="G411" s="408"/>
      <c r="H411" s="409"/>
      <c r="I411" s="232" t="s">
        <v>1057</v>
      </c>
      <c r="J411" s="233" t="str">
        <f>VLOOKUP(C411,'ppto oficial '!$A$5:$D$30,3,FALSE)</f>
        <v>m2</v>
      </c>
    </row>
    <row r="412" spans="2:10" ht="15.75" thickBot="1" x14ac:dyDescent="0.3">
      <c r="B412" s="227"/>
      <c r="C412" s="228"/>
      <c r="D412" s="228"/>
      <c r="E412" s="228"/>
      <c r="F412" s="228"/>
      <c r="G412" s="228"/>
      <c r="H412" s="235"/>
      <c r="I412" s="236"/>
      <c r="J412" s="237"/>
    </row>
    <row r="413" spans="2:10" ht="16.5" thickBot="1" x14ac:dyDescent="0.3">
      <c r="B413" s="238" t="s">
        <v>1058</v>
      </c>
      <c r="C413" s="239"/>
      <c r="D413" s="228"/>
      <c r="E413" s="228"/>
      <c r="F413" s="228"/>
      <c r="G413" s="228"/>
      <c r="H413" s="235"/>
      <c r="I413" s="236"/>
      <c r="J413" s="240"/>
    </row>
    <row r="414" spans="2:10" ht="16.5" thickBot="1" x14ac:dyDescent="0.3">
      <c r="B414" s="318" t="s">
        <v>43</v>
      </c>
      <c r="C414" s="410" t="s">
        <v>2</v>
      </c>
      <c r="D414" s="411"/>
      <c r="E414" s="412"/>
      <c r="F414" s="319"/>
      <c r="G414" s="320" t="s">
        <v>105</v>
      </c>
      <c r="H414" s="320" t="s">
        <v>106</v>
      </c>
      <c r="I414" s="320" t="s">
        <v>1059</v>
      </c>
      <c r="J414" s="321" t="s">
        <v>1060</v>
      </c>
    </row>
    <row r="415" spans="2:10" ht="15" x14ac:dyDescent="0.25">
      <c r="B415" s="282" t="s">
        <v>113</v>
      </c>
      <c r="C415" s="413" t="s">
        <v>114</v>
      </c>
      <c r="D415" s="414"/>
      <c r="E415" s="414"/>
      <c r="F415" s="415"/>
      <c r="G415" s="251" t="s">
        <v>1073</v>
      </c>
      <c r="H415" s="252">
        <f>+J435</f>
        <v>19726</v>
      </c>
      <c r="I415" s="314">
        <v>0.05</v>
      </c>
      <c r="J415" s="315">
        <v>365.85710977962196</v>
      </c>
    </row>
    <row r="416" spans="2:10" ht="15" x14ac:dyDescent="0.25">
      <c r="B416" s="262" t="s">
        <v>169</v>
      </c>
      <c r="C416" s="416" t="str">
        <f>VLOOKUP(B416,INSUMOS!$K$4:$N$135,2,FALSE)</f>
        <v xml:space="preserve">Andamio certificado x modulo </v>
      </c>
      <c r="D416" s="417"/>
      <c r="E416" s="417"/>
      <c r="F416" s="418"/>
      <c r="G416" s="251" t="str">
        <f>VLOOKUP(B416,INSUMOS!$K$4:$N$135,3,FALSE)</f>
        <v>DIA</v>
      </c>
      <c r="H416" s="252">
        <f>VLOOKUP(B416,INSUMOS!$K$4:$N$135,4,FALSE)</f>
        <v>12000</v>
      </c>
      <c r="I416" s="322">
        <f>+I435/8</f>
        <v>3.8656954669121092E-2</v>
      </c>
      <c r="J416" s="323">
        <f>+H416*I416</f>
        <v>463.8834560294531</v>
      </c>
    </row>
    <row r="417" spans="2:10" ht="15" x14ac:dyDescent="0.25">
      <c r="B417" s="262"/>
      <c r="C417" s="398"/>
      <c r="D417" s="399"/>
      <c r="E417" s="399"/>
      <c r="F417" s="400"/>
      <c r="G417" s="263"/>
      <c r="H417" s="264"/>
      <c r="I417" s="260"/>
      <c r="J417" s="261"/>
    </row>
    <row r="418" spans="2:10" ht="15" x14ac:dyDescent="0.25">
      <c r="B418" s="262"/>
      <c r="C418" s="11"/>
      <c r="D418" s="10"/>
      <c r="E418" s="10"/>
      <c r="F418" s="9"/>
      <c r="G418" s="263"/>
      <c r="H418" s="264"/>
      <c r="I418" s="265"/>
      <c r="J418" s="261"/>
    </row>
    <row r="419" spans="2:10" ht="16.5" thickBot="1" x14ac:dyDescent="0.3">
      <c r="B419" s="266"/>
      <c r="C419" s="228"/>
      <c r="D419" s="267"/>
      <c r="E419" s="267"/>
      <c r="F419" s="267"/>
      <c r="G419" s="268"/>
      <c r="H419" s="269"/>
      <c r="I419" s="270" t="s">
        <v>1061</v>
      </c>
      <c r="J419" s="271">
        <f>ROUND((SUM(J415:J418)),2)</f>
        <v>829.74</v>
      </c>
    </row>
    <row r="420" spans="2:10" ht="16.5" thickBot="1" x14ac:dyDescent="0.3">
      <c r="B420" s="272" t="s">
        <v>1062</v>
      </c>
      <c r="C420" s="273"/>
      <c r="D420" s="274"/>
      <c r="E420" s="274"/>
      <c r="F420" s="274"/>
      <c r="G420" s="274"/>
      <c r="H420" s="275"/>
      <c r="I420" s="276"/>
      <c r="J420" s="277"/>
    </row>
    <row r="421" spans="2:10" ht="16.5" thickBot="1" x14ac:dyDescent="0.3">
      <c r="B421" s="278" t="s">
        <v>43</v>
      </c>
      <c r="C421" s="401" t="s">
        <v>44</v>
      </c>
      <c r="D421" s="402"/>
      <c r="E421" s="403"/>
      <c r="F421" s="279"/>
      <c r="G421" s="280" t="s">
        <v>45</v>
      </c>
      <c r="H421" s="280" t="s">
        <v>109</v>
      </c>
      <c r="I421" s="280" t="s">
        <v>4</v>
      </c>
      <c r="J421" s="281" t="s">
        <v>1060</v>
      </c>
    </row>
    <row r="422" spans="2:10" ht="15" x14ac:dyDescent="0.25">
      <c r="B422" s="284"/>
      <c r="C422" s="11"/>
      <c r="D422" s="10"/>
      <c r="E422" s="10"/>
      <c r="F422" s="9"/>
      <c r="G422" s="263"/>
      <c r="H422" s="264"/>
      <c r="I422" s="265"/>
      <c r="J422" s="283"/>
    </row>
    <row r="423" spans="2:10" ht="15" x14ac:dyDescent="0.25">
      <c r="B423" s="284"/>
      <c r="C423" s="11"/>
      <c r="D423" s="10"/>
      <c r="E423" s="10"/>
      <c r="F423" s="9"/>
      <c r="G423" s="263"/>
      <c r="H423" s="264"/>
      <c r="I423" s="265"/>
      <c r="J423" s="283"/>
    </row>
    <row r="424" spans="2:10" ht="15" x14ac:dyDescent="0.25">
      <c r="B424" s="284"/>
      <c r="C424" s="11"/>
      <c r="D424" s="10"/>
      <c r="E424" s="10"/>
      <c r="F424" s="9"/>
      <c r="G424" s="263"/>
      <c r="H424" s="264"/>
      <c r="I424" s="265"/>
      <c r="J424" s="283"/>
    </row>
    <row r="425" spans="2:10" ht="16.5" thickBot="1" x14ac:dyDescent="0.3">
      <c r="B425" s="227"/>
      <c r="C425" s="228"/>
      <c r="D425" s="228"/>
      <c r="E425" s="228"/>
      <c r="F425" s="228"/>
      <c r="G425" s="286"/>
      <c r="H425" s="287"/>
      <c r="I425" s="270" t="s">
        <v>1061</v>
      </c>
      <c r="J425" s="288"/>
    </row>
    <row r="426" spans="2:10" ht="15" customHeight="1" thickBot="1" x14ac:dyDescent="0.3">
      <c r="B426" s="289" t="s">
        <v>1068</v>
      </c>
      <c r="C426" s="290"/>
      <c r="D426" s="228"/>
      <c r="E426" s="228"/>
      <c r="F426" s="228"/>
      <c r="G426" s="228"/>
      <c r="H426" s="235"/>
      <c r="I426" s="291"/>
      <c r="J426" s="240"/>
    </row>
    <row r="427" spans="2:10" ht="15" customHeight="1" thickBot="1" x14ac:dyDescent="0.3">
      <c r="B427" s="292" t="s">
        <v>43</v>
      </c>
      <c r="C427" s="8" t="s">
        <v>44</v>
      </c>
      <c r="D427" s="7"/>
      <c r="E427" s="6"/>
      <c r="F427" s="293"/>
      <c r="G427" s="331" t="s">
        <v>107</v>
      </c>
      <c r="H427" s="294" t="s">
        <v>108</v>
      </c>
      <c r="I427" s="294" t="s">
        <v>1069</v>
      </c>
      <c r="J427" s="295" t="s">
        <v>1060</v>
      </c>
    </row>
    <row r="428" spans="2:10" ht="15" x14ac:dyDescent="0.25">
      <c r="B428" s="282"/>
      <c r="C428" s="11"/>
      <c r="D428" s="10"/>
      <c r="E428" s="10"/>
      <c r="F428" s="9"/>
      <c r="G428" s="258"/>
      <c r="H428" s="259"/>
      <c r="I428" s="260"/>
      <c r="J428" s="283"/>
    </row>
    <row r="429" spans="2:10" ht="15" x14ac:dyDescent="0.25">
      <c r="B429" s="282"/>
      <c r="C429" s="11"/>
      <c r="D429" s="10"/>
      <c r="E429" s="10"/>
      <c r="F429" s="9"/>
      <c r="G429" s="258"/>
      <c r="H429" s="259"/>
      <c r="I429" s="260"/>
      <c r="J429" s="283">
        <f>+G429*I429</f>
        <v>0</v>
      </c>
    </row>
    <row r="430" spans="2:10" ht="15" x14ac:dyDescent="0.25">
      <c r="B430" s="282"/>
      <c r="C430" s="11"/>
      <c r="D430" s="10"/>
      <c r="E430" s="10"/>
      <c r="F430" s="9"/>
      <c r="G430" s="258"/>
      <c r="H430" s="259"/>
      <c r="I430" s="260"/>
      <c r="J430" s="283">
        <f>+G430*I430</f>
        <v>0</v>
      </c>
    </row>
    <row r="431" spans="2:10" ht="15" x14ac:dyDescent="0.25">
      <c r="B431" s="284"/>
      <c r="C431" s="11"/>
      <c r="D431" s="10"/>
      <c r="E431" s="10"/>
      <c r="F431" s="9"/>
      <c r="G431" s="263"/>
      <c r="H431" s="264"/>
      <c r="I431" s="265"/>
      <c r="J431" s="285">
        <f>+G431*I431</f>
        <v>0</v>
      </c>
    </row>
    <row r="432" spans="2:10" ht="16.5" thickBot="1" x14ac:dyDescent="0.3">
      <c r="B432" s="227"/>
      <c r="C432" s="228"/>
      <c r="D432" s="228"/>
      <c r="E432" s="228"/>
      <c r="F432" s="228"/>
      <c r="G432" s="228"/>
      <c r="H432" s="235"/>
      <c r="I432" s="298" t="s">
        <v>1061</v>
      </c>
      <c r="J432" s="288">
        <f>ROUND((SUM(J428:J431)),2)</f>
        <v>0</v>
      </c>
    </row>
    <row r="433" spans="2:12" ht="15" customHeight="1" thickBot="1" x14ac:dyDescent="0.3">
      <c r="B433" s="289" t="s">
        <v>1070</v>
      </c>
      <c r="C433" s="290"/>
      <c r="D433" s="228"/>
      <c r="E433" s="228"/>
      <c r="F433" s="228"/>
      <c r="G433" s="228"/>
      <c r="H433" s="235"/>
      <c r="I433" s="291"/>
      <c r="J433" s="240"/>
    </row>
    <row r="434" spans="2:12" ht="16.5" thickBot="1" x14ac:dyDescent="0.3">
      <c r="B434" s="292" t="s">
        <v>43</v>
      </c>
      <c r="C434" s="8" t="s">
        <v>44</v>
      </c>
      <c r="D434" s="7"/>
      <c r="E434" s="6"/>
      <c r="F434" s="293"/>
      <c r="G434" s="294" t="s">
        <v>45</v>
      </c>
      <c r="H434" s="294" t="s">
        <v>109</v>
      </c>
      <c r="I434" s="294" t="s">
        <v>1059</v>
      </c>
      <c r="J434" s="295" t="s">
        <v>1060</v>
      </c>
    </row>
    <row r="435" spans="2:12" ht="15" x14ac:dyDescent="0.25">
      <c r="B435" s="282" t="s">
        <v>71</v>
      </c>
      <c r="C435" s="5" t="str">
        <f>VLOOKUP(B435,CUADRILLAS!$B$4:$G$19,2,)</f>
        <v>CUADRILLA I (Oficial + ayudante)</v>
      </c>
      <c r="D435" s="4"/>
      <c r="E435" s="4"/>
      <c r="F435" s="3"/>
      <c r="G435" s="259" t="str">
        <f>VLOOKUP(B435,CUADRILLAS!$B$4:$G$19,5,FALSE)</f>
        <v>H</v>
      </c>
      <c r="H435" s="296">
        <f>VLOOKUP(B435,CUADRILLAS!$B$4:$G$19,6,FALSE)</f>
        <v>63785.417685</v>
      </c>
      <c r="I435" s="260">
        <v>0.30925563735296874</v>
      </c>
      <c r="J435" s="297">
        <f>H435*I435</f>
        <v>19726</v>
      </c>
    </row>
    <row r="436" spans="2:12" ht="15" x14ac:dyDescent="0.25">
      <c r="B436" s="284"/>
      <c r="C436" s="2"/>
      <c r="D436" s="1"/>
      <c r="E436" s="1"/>
      <c r="F436" s="15"/>
      <c r="G436" s="263"/>
      <c r="H436" s="264"/>
      <c r="I436" s="265"/>
      <c r="J436" s="285"/>
    </row>
    <row r="437" spans="2:12" ht="15" x14ac:dyDescent="0.25">
      <c r="B437" s="284"/>
      <c r="C437" s="299"/>
      <c r="D437" s="300"/>
      <c r="E437" s="300"/>
      <c r="F437" s="301"/>
      <c r="G437" s="263"/>
      <c r="H437" s="264"/>
      <c r="I437" s="265"/>
      <c r="J437" s="285"/>
    </row>
    <row r="438" spans="2:12" ht="15" x14ac:dyDescent="0.25">
      <c r="B438" s="284"/>
      <c r="C438" s="299"/>
      <c r="D438" s="300"/>
      <c r="E438" s="300"/>
      <c r="F438" s="301"/>
      <c r="G438" s="263"/>
      <c r="H438" s="264"/>
      <c r="I438" s="265"/>
      <c r="J438" s="285"/>
    </row>
    <row r="439" spans="2:12" ht="15" x14ac:dyDescent="0.25">
      <c r="B439" s="284"/>
      <c r="C439" s="299"/>
      <c r="D439" s="300"/>
      <c r="E439" s="300"/>
      <c r="F439" s="301"/>
      <c r="G439" s="263"/>
      <c r="H439" s="264"/>
      <c r="I439" s="265"/>
      <c r="J439" s="285">
        <f>+H439*I439</f>
        <v>0</v>
      </c>
    </row>
    <row r="440" spans="2:12" ht="16.5" thickBot="1" x14ac:dyDescent="0.3">
      <c r="B440" s="227"/>
      <c r="C440" s="228"/>
      <c r="D440" s="228"/>
      <c r="E440" s="228"/>
      <c r="F440" s="228"/>
      <c r="G440" s="286"/>
      <c r="H440" s="235"/>
      <c r="I440" s="302" t="s">
        <v>1061</v>
      </c>
      <c r="J440" s="303">
        <f>SUM(J435:J439)</f>
        <v>19726</v>
      </c>
    </row>
    <row r="441" spans="2:12" ht="16.5" thickBot="1" x14ac:dyDescent="0.3">
      <c r="B441" s="227"/>
      <c r="C441" s="228"/>
      <c r="D441" s="228"/>
      <c r="E441" s="228"/>
      <c r="F441" s="228"/>
      <c r="G441" s="394"/>
      <c r="H441" s="394"/>
      <c r="I441" s="305"/>
      <c r="J441" s="304"/>
    </row>
    <row r="442" spans="2:12" ht="16.5" thickBot="1" x14ac:dyDescent="0.3">
      <c r="B442" s="227"/>
      <c r="C442" s="228"/>
      <c r="D442" s="228"/>
      <c r="E442" s="228"/>
      <c r="F442" s="228"/>
      <c r="G442" s="14" t="s">
        <v>1071</v>
      </c>
      <c r="H442" s="13"/>
      <c r="I442" s="12"/>
      <c r="J442" s="306">
        <f>+J440+J441</f>
        <v>19726</v>
      </c>
      <c r="L442" s="95">
        <v>19726</v>
      </c>
    </row>
    <row r="443" spans="2:12" ht="14.25" thickBot="1" x14ac:dyDescent="0.3">
      <c r="B443" s="307"/>
      <c r="C443" s="216"/>
      <c r="D443" s="216"/>
      <c r="E443" s="216"/>
      <c r="F443" s="216"/>
      <c r="G443" s="216"/>
      <c r="H443" s="216"/>
      <c r="I443" s="216"/>
      <c r="J443" s="308"/>
    </row>
    <row r="444" spans="2:12" ht="16.5" thickBot="1" x14ac:dyDescent="0.3">
      <c r="B444" s="307"/>
      <c r="C444" s="216"/>
      <c r="D444" s="216"/>
      <c r="E444" s="216"/>
      <c r="F444" s="216"/>
      <c r="G444" s="14" t="s">
        <v>1072</v>
      </c>
      <c r="H444" s="13"/>
      <c r="I444" s="12"/>
      <c r="J444" s="306">
        <f>+J442+J443</f>
        <v>19726</v>
      </c>
    </row>
    <row r="445" spans="2:12" ht="14.25" thickBot="1" x14ac:dyDescent="0.3">
      <c r="B445" s="309"/>
      <c r="C445" s="310"/>
      <c r="D445" s="310"/>
      <c r="E445" s="310"/>
      <c r="F445" s="310"/>
      <c r="G445" s="310"/>
      <c r="H445" s="310"/>
      <c r="I445" s="310"/>
      <c r="J445" s="311"/>
    </row>
    <row r="446" spans="2:12" ht="14.25" thickBot="1" x14ac:dyDescent="0.3"/>
    <row r="447" spans="2:12" x14ac:dyDescent="0.25">
      <c r="B447" s="419"/>
      <c r="C447" s="420"/>
      <c r="D447" s="423" t="s">
        <v>1052</v>
      </c>
      <c r="E447" s="424"/>
      <c r="F447" s="424"/>
      <c r="G447" s="424"/>
      <c r="H447" s="425"/>
      <c r="I447" s="429"/>
      <c r="J447" s="430"/>
    </row>
    <row r="448" spans="2:12" ht="14.25" thickBot="1" x14ac:dyDescent="0.3">
      <c r="B448" s="421"/>
      <c r="C448" s="422"/>
      <c r="D448" s="426"/>
      <c r="E448" s="427"/>
      <c r="F448" s="427"/>
      <c r="G448" s="427"/>
      <c r="H448" s="428"/>
      <c r="I448" s="431"/>
      <c r="J448" s="432"/>
    </row>
    <row r="449" spans="2:10" ht="16.5" thickBot="1" x14ac:dyDescent="0.3">
      <c r="B449" s="337"/>
      <c r="C449" s="219"/>
      <c r="D449" s="219"/>
      <c r="E449" s="219"/>
      <c r="F449" s="219"/>
      <c r="G449" s="219"/>
      <c r="H449" s="219"/>
      <c r="I449" s="219"/>
      <c r="J449" s="338"/>
    </row>
    <row r="450" spans="2:10" ht="16.5" thickBot="1" x14ac:dyDescent="0.3">
      <c r="B450" s="433" t="s">
        <v>1053</v>
      </c>
      <c r="C450" s="434"/>
      <c r="D450" s="222"/>
      <c r="E450" s="223" t="s">
        <v>171</v>
      </c>
      <c r="F450" s="222">
        <v>30</v>
      </c>
      <c r="G450" s="222" t="s">
        <v>462</v>
      </c>
      <c r="H450" s="223">
        <v>4</v>
      </c>
      <c r="I450" s="224" t="s">
        <v>1054</v>
      </c>
      <c r="J450" s="225">
        <v>2026</v>
      </c>
    </row>
    <row r="451" spans="2:10" ht="15.75" thickBot="1" x14ac:dyDescent="0.3">
      <c r="B451" s="266"/>
      <c r="C451" s="228"/>
      <c r="D451" s="228"/>
      <c r="E451" s="228"/>
      <c r="F451" s="228"/>
      <c r="G451" s="228"/>
      <c r="H451" s="228"/>
      <c r="I451" s="228"/>
      <c r="J451" s="339"/>
    </row>
    <row r="452" spans="2:10" x14ac:dyDescent="0.25">
      <c r="B452" s="435" t="s">
        <v>1055</v>
      </c>
      <c r="C452" s="436"/>
      <c r="D452" s="441" t="s">
        <v>1110</v>
      </c>
      <c r="E452" s="442"/>
      <c r="F452" s="442"/>
      <c r="G452" s="442"/>
      <c r="H452" s="442"/>
      <c r="I452" s="442"/>
      <c r="J452" s="443"/>
    </row>
    <row r="453" spans="2:10" x14ac:dyDescent="0.25">
      <c r="B453" s="437"/>
      <c r="C453" s="438"/>
      <c r="D453" s="444"/>
      <c r="E453" s="445"/>
      <c r="F453" s="445"/>
      <c r="G453" s="445"/>
      <c r="H453" s="445"/>
      <c r="I453" s="445"/>
      <c r="J453" s="446"/>
    </row>
    <row r="454" spans="2:10" ht="14.25" thickBot="1" x14ac:dyDescent="0.3">
      <c r="B454" s="439"/>
      <c r="C454" s="440"/>
      <c r="D454" s="447"/>
      <c r="E454" s="448"/>
      <c r="F454" s="448"/>
      <c r="G454" s="448"/>
      <c r="H454" s="448"/>
      <c r="I454" s="448"/>
      <c r="J454" s="449"/>
    </row>
    <row r="455" spans="2:10" ht="16.5" thickBot="1" x14ac:dyDescent="0.3">
      <c r="B455" s="404"/>
      <c r="C455" s="405"/>
      <c r="D455" s="405"/>
      <c r="E455" s="405"/>
      <c r="F455" s="405"/>
      <c r="G455" s="405"/>
      <c r="H455" s="405"/>
      <c r="I455" s="405"/>
      <c r="J455" s="406"/>
    </row>
    <row r="456" spans="2:10" ht="28.15" customHeight="1" thickBot="1" x14ac:dyDescent="0.3">
      <c r="B456" s="340" t="s">
        <v>1056</v>
      </c>
      <c r="C456" s="232">
        <v>3.5</v>
      </c>
      <c r="D456" s="407" t="str">
        <f>'ppto oficial '!B17</f>
        <v>Suministro e instalacion de pelicula polarizada en ventanales</v>
      </c>
      <c r="E456" s="408"/>
      <c r="F456" s="408"/>
      <c r="G456" s="408"/>
      <c r="H456" s="409"/>
      <c r="I456" s="232" t="s">
        <v>1057</v>
      </c>
      <c r="J456" s="341" t="str">
        <f>VLOOKUP(C456,'ppto oficial '!$A$5:$D$30,3,FALSE)</f>
        <v>m2</v>
      </c>
    </row>
    <row r="457" spans="2:10" ht="15.75" thickBot="1" x14ac:dyDescent="0.3">
      <c r="B457" s="266"/>
      <c r="C457" s="228"/>
      <c r="D457" s="228"/>
      <c r="E457" s="228"/>
      <c r="F457" s="228"/>
      <c r="G457" s="228"/>
      <c r="H457" s="235"/>
      <c r="I457" s="236"/>
      <c r="J457" s="342"/>
    </row>
    <row r="458" spans="2:10" ht="16.5" thickBot="1" x14ac:dyDescent="0.3">
      <c r="B458" s="343" t="s">
        <v>1058</v>
      </c>
      <c r="C458" s="239"/>
      <c r="D458" s="228"/>
      <c r="E458" s="228"/>
      <c r="F458" s="228"/>
      <c r="G458" s="228"/>
      <c r="H458" s="235"/>
      <c r="I458" s="236"/>
      <c r="J458" s="344"/>
    </row>
    <row r="459" spans="2:10" ht="16.5" thickBot="1" x14ac:dyDescent="0.3">
      <c r="B459" s="318" t="s">
        <v>43</v>
      </c>
      <c r="C459" s="410" t="s">
        <v>2</v>
      </c>
      <c r="D459" s="411"/>
      <c r="E459" s="412"/>
      <c r="F459" s="319"/>
      <c r="G459" s="320" t="s">
        <v>105</v>
      </c>
      <c r="H459" s="320" t="s">
        <v>106</v>
      </c>
      <c r="I459" s="320" t="s">
        <v>1059</v>
      </c>
      <c r="J459" s="321" t="s">
        <v>1060</v>
      </c>
    </row>
    <row r="460" spans="2:10" ht="15" x14ac:dyDescent="0.25">
      <c r="B460" s="257" t="s">
        <v>113</v>
      </c>
      <c r="C460" s="413" t="s">
        <v>114</v>
      </c>
      <c r="D460" s="414"/>
      <c r="E460" s="414"/>
      <c r="F460" s="415"/>
      <c r="G460" s="251" t="s">
        <v>1073</v>
      </c>
      <c r="H460" s="252">
        <f>+J482</f>
        <v>27265.946702533653</v>
      </c>
      <c r="I460" s="314">
        <v>0.05</v>
      </c>
      <c r="J460" s="345">
        <v>365.85710977962196</v>
      </c>
    </row>
    <row r="461" spans="2:10" ht="15" x14ac:dyDescent="0.25">
      <c r="B461" s="262" t="s">
        <v>169</v>
      </c>
      <c r="C461" s="416" t="str">
        <f>VLOOKUP(B461,INSUMOS!$K$4:$N$135,2,FALSE)</f>
        <v xml:space="preserve">Andamio certificado x modulo </v>
      </c>
      <c r="D461" s="417"/>
      <c r="E461" s="417"/>
      <c r="F461" s="418"/>
      <c r="G461" s="251" t="str">
        <f>VLOOKUP(B461,INSUMOS!$K$4:$N$135,3,FALSE)</f>
        <v>DIA</v>
      </c>
      <c r="H461" s="252">
        <f>VLOOKUP(B461,INSUMOS!$K$4:$N$135,4,FALSE)</f>
        <v>12000</v>
      </c>
      <c r="I461" s="322">
        <f>+I482/8</f>
        <v>5.3432954764803565E-2</v>
      </c>
      <c r="J461" s="323">
        <f>+H461*I461</f>
        <v>641.19545717764277</v>
      </c>
    </row>
    <row r="462" spans="2:10" ht="15" x14ac:dyDescent="0.25">
      <c r="B462" s="262"/>
      <c r="C462" s="398"/>
      <c r="D462" s="399"/>
      <c r="E462" s="399"/>
      <c r="F462" s="400"/>
      <c r="G462" s="263"/>
      <c r="H462" s="264"/>
      <c r="I462" s="260"/>
      <c r="J462" s="261"/>
    </row>
    <row r="463" spans="2:10" ht="15" x14ac:dyDescent="0.25">
      <c r="B463" s="262"/>
      <c r="C463" s="11"/>
      <c r="D463" s="10"/>
      <c r="E463" s="10"/>
      <c r="F463" s="9"/>
      <c r="G463" s="263"/>
      <c r="H463" s="264"/>
      <c r="I463" s="265"/>
      <c r="J463" s="261"/>
    </row>
    <row r="464" spans="2:10" ht="16.5" thickBot="1" x14ac:dyDescent="0.3">
      <c r="B464" s="266"/>
      <c r="C464" s="228"/>
      <c r="D464" s="267"/>
      <c r="E464" s="267"/>
      <c r="F464" s="267"/>
      <c r="G464" s="268"/>
      <c r="H464" s="269"/>
      <c r="I464" s="270" t="s">
        <v>1061</v>
      </c>
      <c r="J464" s="271">
        <f>ROUND((SUM(J460:J463)),2)</f>
        <v>1007.05</v>
      </c>
    </row>
    <row r="465" spans="2:10" ht="16.5" thickBot="1" x14ac:dyDescent="0.3">
      <c r="B465" s="272" t="s">
        <v>1062</v>
      </c>
      <c r="C465" s="273"/>
      <c r="D465" s="274"/>
      <c r="E465" s="274"/>
      <c r="F465" s="274"/>
      <c r="G465" s="274"/>
      <c r="H465" s="275"/>
      <c r="I465" s="276"/>
      <c r="J465" s="277"/>
    </row>
    <row r="466" spans="2:10" ht="16.5" thickBot="1" x14ac:dyDescent="0.3">
      <c r="B466" s="346" t="s">
        <v>43</v>
      </c>
      <c r="C466" s="401" t="s">
        <v>44</v>
      </c>
      <c r="D466" s="402"/>
      <c r="E466" s="403"/>
      <c r="F466" s="279"/>
      <c r="G466" s="280" t="s">
        <v>45</v>
      </c>
      <c r="H466" s="280" t="s">
        <v>109</v>
      </c>
      <c r="I466" s="280" t="s">
        <v>4</v>
      </c>
      <c r="J466" s="347" t="s">
        <v>1060</v>
      </c>
    </row>
    <row r="467" spans="2:10" ht="15.75" x14ac:dyDescent="0.25">
      <c r="B467" s="257" t="s">
        <v>880</v>
      </c>
      <c r="C467" s="5" t="s">
        <v>1080</v>
      </c>
      <c r="D467" s="4"/>
      <c r="E467" s="4"/>
      <c r="F467" s="3"/>
      <c r="G467" s="258" t="s">
        <v>120</v>
      </c>
      <c r="H467" s="259">
        <v>79800</v>
      </c>
      <c r="I467" s="260">
        <v>0.5</v>
      </c>
      <c r="J467" s="348">
        <f>I467*H467</f>
        <v>39900</v>
      </c>
    </row>
    <row r="468" spans="2:10" ht="15" x14ac:dyDescent="0.25">
      <c r="B468" s="262"/>
      <c r="C468" s="11"/>
      <c r="D468" s="10"/>
      <c r="E468" s="10"/>
      <c r="F468" s="9"/>
      <c r="G468" s="263"/>
      <c r="H468" s="264"/>
      <c r="I468" s="265"/>
      <c r="J468" s="324"/>
    </row>
    <row r="469" spans="2:10" ht="15" x14ac:dyDescent="0.25">
      <c r="B469" s="262"/>
      <c r="C469" s="11"/>
      <c r="D469" s="10"/>
      <c r="E469" s="10"/>
      <c r="F469" s="9"/>
      <c r="G469" s="263"/>
      <c r="H469" s="264"/>
      <c r="I469" s="265"/>
      <c r="J469" s="324"/>
    </row>
    <row r="470" spans="2:10" ht="15" x14ac:dyDescent="0.25">
      <c r="B470" s="262"/>
      <c r="C470" s="11"/>
      <c r="D470" s="10"/>
      <c r="E470" s="10"/>
      <c r="F470" s="9"/>
      <c r="G470" s="263"/>
      <c r="H470" s="264"/>
      <c r="I470" s="265"/>
      <c r="J470" s="324"/>
    </row>
    <row r="471" spans="2:10" ht="16.5" thickBot="1" x14ac:dyDescent="0.3">
      <c r="B471" s="266"/>
      <c r="C471" s="228"/>
      <c r="D471" s="228"/>
      <c r="E471" s="228"/>
      <c r="F471" s="228"/>
      <c r="G471" s="286"/>
      <c r="H471" s="287"/>
      <c r="I471" s="270" t="s">
        <v>1061</v>
      </c>
      <c r="J471" s="271">
        <f>+SUM(J467:J470)</f>
        <v>39900</v>
      </c>
    </row>
    <row r="472" spans="2:10" ht="16.5" thickBot="1" x14ac:dyDescent="0.3">
      <c r="B472" s="349" t="s">
        <v>1068</v>
      </c>
      <c r="C472" s="290"/>
      <c r="D472" s="228"/>
      <c r="E472" s="228"/>
      <c r="F472" s="228"/>
      <c r="G472" s="228"/>
      <c r="H472" s="235"/>
      <c r="I472" s="291"/>
      <c r="J472" s="344"/>
    </row>
    <row r="473" spans="2:10" ht="16.5" thickBot="1" x14ac:dyDescent="0.3">
      <c r="B473" s="350" t="s">
        <v>43</v>
      </c>
      <c r="C473" s="8" t="s">
        <v>44</v>
      </c>
      <c r="D473" s="7"/>
      <c r="E473" s="6"/>
      <c r="F473" s="293"/>
      <c r="G473" s="331" t="s">
        <v>107</v>
      </c>
      <c r="H473" s="294" t="s">
        <v>108</v>
      </c>
      <c r="I473" s="294" t="s">
        <v>1069</v>
      </c>
      <c r="J473" s="351" t="s">
        <v>1060</v>
      </c>
    </row>
    <row r="474" spans="2:10" ht="15" customHeight="1" x14ac:dyDescent="0.25">
      <c r="B474" s="257" t="s">
        <v>115</v>
      </c>
      <c r="C474" s="395" t="str">
        <f>VLOOKUP(B474,INSUMOS!$Q$4:$V$11,2,FALSE)</f>
        <v>Volqueta sencilla (6 M3)</v>
      </c>
      <c r="D474" s="396"/>
      <c r="E474" s="396"/>
      <c r="F474" s="397"/>
      <c r="G474" s="258" t="str">
        <f>VLOOKUP(B474,INSUMOS!$Q$4:$V$11,5,FALSE)</f>
        <v xml:space="preserve">6 M3 VJ </v>
      </c>
      <c r="H474" s="259">
        <f>VLOOKUP(B474,INSUMOS!$Q$4:$V$11,6,FALSE)</f>
        <v>120000</v>
      </c>
      <c r="I474" s="260">
        <f>1/(6*8)</f>
        <v>2.0833333333333332E-2</v>
      </c>
      <c r="J474" s="324">
        <f>+H474*I474</f>
        <v>2500</v>
      </c>
    </row>
    <row r="475" spans="2:10" ht="15" x14ac:dyDescent="0.25">
      <c r="B475" s="257"/>
      <c r="C475" s="11"/>
      <c r="D475" s="10"/>
      <c r="E475" s="10"/>
      <c r="F475" s="9"/>
      <c r="G475" s="258"/>
      <c r="H475" s="259"/>
      <c r="I475" s="260"/>
      <c r="J475" s="324"/>
    </row>
    <row r="476" spans="2:10" ht="15" x14ac:dyDescent="0.25">
      <c r="B476" s="257"/>
      <c r="C476" s="11"/>
      <c r="D476" s="10"/>
      <c r="E476" s="10"/>
      <c r="F476" s="9"/>
      <c r="G476" s="258"/>
      <c r="H476" s="259"/>
      <c r="I476" s="260"/>
      <c r="J476" s="324">
        <f>+G476*I476</f>
        <v>0</v>
      </c>
    </row>
    <row r="477" spans="2:10" ht="15" x14ac:dyDescent="0.25">
      <c r="B477" s="257"/>
      <c r="C477" s="11"/>
      <c r="D477" s="10"/>
      <c r="E477" s="10"/>
      <c r="F477" s="9"/>
      <c r="G477" s="258"/>
      <c r="H477" s="259"/>
      <c r="I477" s="260"/>
      <c r="J477" s="324">
        <f>+G477*I477</f>
        <v>0</v>
      </c>
    </row>
    <row r="478" spans="2:10" ht="15" x14ac:dyDescent="0.25">
      <c r="B478" s="262"/>
      <c r="C478" s="11"/>
      <c r="D478" s="10"/>
      <c r="E478" s="10"/>
      <c r="F478" s="9"/>
      <c r="G478" s="263"/>
      <c r="H478" s="264"/>
      <c r="I478" s="265"/>
      <c r="J478" s="261">
        <f>+G478*I478</f>
        <v>0</v>
      </c>
    </row>
    <row r="479" spans="2:10" ht="16.5" thickBot="1" x14ac:dyDescent="0.3">
      <c r="B479" s="266"/>
      <c r="C479" s="228"/>
      <c r="D479" s="228"/>
      <c r="E479" s="228"/>
      <c r="F479" s="228"/>
      <c r="G479" s="228"/>
      <c r="H479" s="235"/>
      <c r="I479" s="298" t="s">
        <v>1061</v>
      </c>
      <c r="J479" s="271">
        <f>ROUND((SUM(J474:J478)),2)</f>
        <v>2500</v>
      </c>
    </row>
    <row r="480" spans="2:10" ht="16.5" thickBot="1" x14ac:dyDescent="0.3">
      <c r="B480" s="349" t="s">
        <v>1070</v>
      </c>
      <c r="C480" s="290"/>
      <c r="D480" s="228"/>
      <c r="E480" s="228"/>
      <c r="F480" s="228"/>
      <c r="G480" s="228"/>
      <c r="H480" s="235"/>
      <c r="I480" s="291"/>
      <c r="J480" s="344"/>
    </row>
    <row r="481" spans="2:12" ht="16.5" thickBot="1" x14ac:dyDescent="0.3">
      <c r="B481" s="350" t="s">
        <v>43</v>
      </c>
      <c r="C481" s="8" t="s">
        <v>44</v>
      </c>
      <c r="D481" s="7"/>
      <c r="E481" s="6"/>
      <c r="F481" s="293"/>
      <c r="G481" s="294" t="s">
        <v>45</v>
      </c>
      <c r="H481" s="294" t="s">
        <v>109</v>
      </c>
      <c r="I481" s="294" t="s">
        <v>1059</v>
      </c>
      <c r="J481" s="351" t="s">
        <v>1060</v>
      </c>
    </row>
    <row r="482" spans="2:12" ht="15" x14ac:dyDescent="0.25">
      <c r="B482" s="257" t="s">
        <v>71</v>
      </c>
      <c r="C482" s="5" t="str">
        <f>VLOOKUP(B482,CUADRILLAS!$B$4:$G$19,2,)</f>
        <v>CUADRILLA I (Oficial + ayudante)</v>
      </c>
      <c r="D482" s="4"/>
      <c r="E482" s="4"/>
      <c r="F482" s="3"/>
      <c r="G482" s="259" t="str">
        <f>VLOOKUP(B482,CUADRILLAS!$B$4:$G$19,5,FALSE)</f>
        <v>H</v>
      </c>
      <c r="H482" s="296">
        <f>VLOOKUP(B482,CUADRILLAS!$B$4:$G$19,6,FALSE)</f>
        <v>63785.417685</v>
      </c>
      <c r="I482" s="260">
        <v>0.42746363811842852</v>
      </c>
      <c r="J482" s="352">
        <f>H482*I482</f>
        <v>27265.946702533653</v>
      </c>
    </row>
    <row r="483" spans="2:12" ht="15" x14ac:dyDescent="0.25">
      <c r="B483" s="262"/>
      <c r="C483" s="2"/>
      <c r="D483" s="1"/>
      <c r="E483" s="1"/>
      <c r="F483" s="15"/>
      <c r="G483" s="263"/>
      <c r="H483" s="264"/>
      <c r="I483" s="265"/>
      <c r="J483" s="261"/>
    </row>
    <row r="484" spans="2:12" ht="15" x14ac:dyDescent="0.25">
      <c r="B484" s="262"/>
      <c r="C484" s="299"/>
      <c r="D484" s="300"/>
      <c r="E484" s="300"/>
      <c r="F484" s="301"/>
      <c r="G484" s="263"/>
      <c r="H484" s="264"/>
      <c r="I484" s="265"/>
      <c r="J484" s="261"/>
    </row>
    <row r="485" spans="2:12" ht="15" x14ac:dyDescent="0.25">
      <c r="B485" s="262"/>
      <c r="C485" s="299"/>
      <c r="D485" s="300"/>
      <c r="E485" s="300"/>
      <c r="F485" s="301"/>
      <c r="G485" s="263"/>
      <c r="H485" s="264"/>
      <c r="I485" s="265"/>
      <c r="J485" s="261"/>
    </row>
    <row r="486" spans="2:12" ht="15" x14ac:dyDescent="0.25">
      <c r="B486" s="262"/>
      <c r="C486" s="299"/>
      <c r="D486" s="300"/>
      <c r="E486" s="300"/>
      <c r="F486" s="301"/>
      <c r="G486" s="263"/>
      <c r="H486" s="264"/>
      <c r="I486" s="265"/>
      <c r="J486" s="261">
        <f>+H486*I486</f>
        <v>0</v>
      </c>
    </row>
    <row r="487" spans="2:12" ht="15.75" x14ac:dyDescent="0.25">
      <c r="B487" s="266"/>
      <c r="C487" s="228"/>
      <c r="D487" s="228"/>
      <c r="E487" s="228"/>
      <c r="F487" s="228"/>
      <c r="G487" s="286"/>
      <c r="H487" s="235"/>
      <c r="I487" s="302" t="s">
        <v>1061</v>
      </c>
      <c r="J487" s="353">
        <f>SUM(J482:J486)</f>
        <v>27265.946702533653</v>
      </c>
    </row>
    <row r="488" spans="2:12" ht="15.75" thickBot="1" x14ac:dyDescent="0.3">
      <c r="B488" s="266"/>
      <c r="C488" s="228"/>
      <c r="D488" s="228"/>
      <c r="E488" s="228"/>
      <c r="F488" s="228"/>
      <c r="G488" s="286"/>
      <c r="H488" s="235"/>
      <c r="I488" s="236"/>
      <c r="J488" s="344"/>
    </row>
    <row r="489" spans="2:12" ht="16.5" thickBot="1" x14ac:dyDescent="0.3">
      <c r="B489" s="266"/>
      <c r="C489" s="228"/>
      <c r="D489" s="228"/>
      <c r="E489" s="228"/>
      <c r="F489" s="228"/>
      <c r="G489" s="14" t="s">
        <v>1071</v>
      </c>
      <c r="H489" s="13"/>
      <c r="I489" s="12"/>
      <c r="J489" s="354">
        <f>ROUND((SUM(J487+J479+J471+J464)),2)</f>
        <v>70673</v>
      </c>
      <c r="L489" s="95">
        <v>70673</v>
      </c>
    </row>
    <row r="490" spans="2:12" ht="16.5" thickBot="1" x14ac:dyDescent="0.3">
      <c r="B490" s="266"/>
      <c r="C490" s="228"/>
      <c r="D490" s="228"/>
      <c r="E490" s="228"/>
      <c r="F490" s="228"/>
      <c r="G490" s="394"/>
      <c r="H490" s="394"/>
      <c r="I490" s="305"/>
      <c r="J490" s="354"/>
    </row>
    <row r="491" spans="2:12" ht="16.5" thickBot="1" x14ac:dyDescent="0.3">
      <c r="B491" s="266"/>
      <c r="C491" s="228"/>
      <c r="D491" s="228"/>
      <c r="E491" s="228"/>
      <c r="F491" s="228"/>
      <c r="G491" s="14" t="s">
        <v>1072</v>
      </c>
      <c r="H491" s="13"/>
      <c r="I491" s="12"/>
      <c r="J491" s="355">
        <f>+J489+J490</f>
        <v>70673</v>
      </c>
    </row>
    <row r="492" spans="2:12" ht="14.25" thickBot="1" x14ac:dyDescent="0.3">
      <c r="B492" s="356"/>
      <c r="C492" s="357"/>
      <c r="D492" s="357"/>
      <c r="E492" s="357"/>
      <c r="F492" s="357"/>
      <c r="G492" s="357"/>
      <c r="H492" s="357"/>
      <c r="I492" s="357"/>
      <c r="J492" s="358"/>
    </row>
    <row r="493" spans="2:12" ht="14.25" thickBot="1" x14ac:dyDescent="0.3"/>
    <row r="494" spans="2:12" x14ac:dyDescent="0.25">
      <c r="B494" s="419"/>
      <c r="C494" s="420"/>
      <c r="D494" s="423" t="s">
        <v>1052</v>
      </c>
      <c r="E494" s="424"/>
      <c r="F494" s="424"/>
      <c r="G494" s="424"/>
      <c r="H494" s="425"/>
      <c r="I494" s="429"/>
      <c r="J494" s="430"/>
    </row>
    <row r="495" spans="2:12" ht="14.25" thickBot="1" x14ac:dyDescent="0.3">
      <c r="B495" s="421"/>
      <c r="C495" s="422"/>
      <c r="D495" s="426"/>
      <c r="E495" s="427"/>
      <c r="F495" s="427"/>
      <c r="G495" s="427"/>
      <c r="H495" s="428"/>
      <c r="I495" s="431"/>
      <c r="J495" s="432"/>
    </row>
    <row r="496" spans="2:12" ht="16.5" thickBot="1" x14ac:dyDescent="0.3">
      <c r="B496" s="337"/>
      <c r="C496" s="219"/>
      <c r="D496" s="219"/>
      <c r="E496" s="219"/>
      <c r="F496" s="219"/>
      <c r="G496" s="219"/>
      <c r="H496" s="219"/>
      <c r="I496" s="219"/>
      <c r="J496" s="338"/>
    </row>
    <row r="497" spans="2:10" ht="16.5" thickBot="1" x14ac:dyDescent="0.3">
      <c r="B497" s="433" t="s">
        <v>1053</v>
      </c>
      <c r="C497" s="434"/>
      <c r="D497" s="222"/>
      <c r="E497" s="223" t="s">
        <v>171</v>
      </c>
      <c r="F497" s="222">
        <v>30</v>
      </c>
      <c r="G497" s="222" t="s">
        <v>462</v>
      </c>
      <c r="H497" s="223">
        <v>4</v>
      </c>
      <c r="I497" s="224" t="s">
        <v>1054</v>
      </c>
      <c r="J497" s="225">
        <v>2026</v>
      </c>
    </row>
    <row r="498" spans="2:10" ht="15.75" thickBot="1" x14ac:dyDescent="0.3">
      <c r="B498" s="266"/>
      <c r="C498" s="228"/>
      <c r="D498" s="228"/>
      <c r="E498" s="228"/>
      <c r="F498" s="228"/>
      <c r="G498" s="228"/>
      <c r="H498" s="228"/>
      <c r="I498" s="228"/>
      <c r="J498" s="339"/>
    </row>
    <row r="499" spans="2:10" x14ac:dyDescent="0.25">
      <c r="B499" s="435" t="s">
        <v>1055</v>
      </c>
      <c r="C499" s="436"/>
      <c r="D499" s="441" t="s">
        <v>1110</v>
      </c>
      <c r="E499" s="442"/>
      <c r="F499" s="442"/>
      <c r="G499" s="442"/>
      <c r="H499" s="442"/>
      <c r="I499" s="442"/>
      <c r="J499" s="443"/>
    </row>
    <row r="500" spans="2:10" x14ac:dyDescent="0.25">
      <c r="B500" s="437"/>
      <c r="C500" s="438"/>
      <c r="D500" s="444"/>
      <c r="E500" s="445"/>
      <c r="F500" s="445"/>
      <c r="G500" s="445"/>
      <c r="H500" s="445"/>
      <c r="I500" s="445"/>
      <c r="J500" s="446"/>
    </row>
    <row r="501" spans="2:10" ht="14.25" thickBot="1" x14ac:dyDescent="0.3">
      <c r="B501" s="439"/>
      <c r="C501" s="440"/>
      <c r="D501" s="447"/>
      <c r="E501" s="448"/>
      <c r="F501" s="448"/>
      <c r="G501" s="448"/>
      <c r="H501" s="448"/>
      <c r="I501" s="448"/>
      <c r="J501" s="449"/>
    </row>
    <row r="502" spans="2:10" ht="16.5" thickBot="1" x14ac:dyDescent="0.3">
      <c r="B502" s="404"/>
      <c r="C502" s="405"/>
      <c r="D502" s="405"/>
      <c r="E502" s="405"/>
      <c r="F502" s="405"/>
      <c r="G502" s="405"/>
      <c r="H502" s="405"/>
      <c r="I502" s="405"/>
      <c r="J502" s="406"/>
    </row>
    <row r="503" spans="2:10" ht="16.5" thickBot="1" x14ac:dyDescent="0.3">
      <c r="B503" s="340" t="s">
        <v>1056</v>
      </c>
      <c r="C503" s="232">
        <v>3.6</v>
      </c>
      <c r="D503" s="407" t="str">
        <f>'ppto oficial '!B18</f>
        <v>Sellamiento hermetico de marcos metalicos de ventanas a los vanos de los muros.</v>
      </c>
      <c r="E503" s="408"/>
      <c r="F503" s="408"/>
      <c r="G503" s="408"/>
      <c r="H503" s="409"/>
      <c r="I503" s="232" t="s">
        <v>1057</v>
      </c>
      <c r="J503" s="341" t="str">
        <f>VLOOKUP(C503,'ppto oficial '!$A$5:$D$30,3,FALSE)</f>
        <v>ml</v>
      </c>
    </row>
    <row r="504" spans="2:10" ht="15.75" thickBot="1" x14ac:dyDescent="0.3">
      <c r="B504" s="266"/>
      <c r="C504" s="228"/>
      <c r="D504" s="228"/>
      <c r="E504" s="228"/>
      <c r="F504" s="228"/>
      <c r="G504" s="228"/>
      <c r="H504" s="235"/>
      <c r="I504" s="236"/>
      <c r="J504" s="342"/>
    </row>
    <row r="505" spans="2:10" ht="16.5" thickBot="1" x14ac:dyDescent="0.3">
      <c r="B505" s="343" t="s">
        <v>1058</v>
      </c>
      <c r="C505" s="239"/>
      <c r="D505" s="228"/>
      <c r="E505" s="228"/>
      <c r="F505" s="228"/>
      <c r="G505" s="228"/>
      <c r="H505" s="235"/>
      <c r="I505" s="236"/>
      <c r="J505" s="344"/>
    </row>
    <row r="506" spans="2:10" ht="16.5" thickBot="1" x14ac:dyDescent="0.3">
      <c r="B506" s="318" t="s">
        <v>43</v>
      </c>
      <c r="C506" s="410" t="s">
        <v>2</v>
      </c>
      <c r="D506" s="411"/>
      <c r="E506" s="412"/>
      <c r="F506" s="319"/>
      <c r="G506" s="320" t="s">
        <v>105</v>
      </c>
      <c r="H506" s="320" t="s">
        <v>106</v>
      </c>
      <c r="I506" s="320" t="s">
        <v>1059</v>
      </c>
      <c r="J506" s="321" t="s">
        <v>1060</v>
      </c>
    </row>
    <row r="507" spans="2:10" ht="15" x14ac:dyDescent="0.25">
      <c r="B507" s="257" t="s">
        <v>113</v>
      </c>
      <c r="C507" s="413" t="s">
        <v>114</v>
      </c>
      <c r="D507" s="414"/>
      <c r="E507" s="414"/>
      <c r="F507" s="415"/>
      <c r="G507" s="251" t="s">
        <v>1073</v>
      </c>
      <c r="H507" s="252">
        <f>+J529</f>
        <v>14238.310282370143</v>
      </c>
      <c r="I507" s="314">
        <v>0.05</v>
      </c>
      <c r="J507" s="345">
        <v>365.85710977962196</v>
      </c>
    </row>
    <row r="508" spans="2:10" ht="15" x14ac:dyDescent="0.25">
      <c r="B508" s="262" t="s">
        <v>169</v>
      </c>
      <c r="C508" s="416" t="str">
        <f>VLOOKUP(B508,INSUMOS!$K$4:$N$135,2,FALSE)</f>
        <v xml:space="preserve">Andamio certificado x modulo </v>
      </c>
      <c r="D508" s="417"/>
      <c r="E508" s="417"/>
      <c r="F508" s="418"/>
      <c r="G508" s="251" t="str">
        <f>VLOOKUP(B508,INSUMOS!$K$4:$N$135,3,FALSE)</f>
        <v>DIA</v>
      </c>
      <c r="H508" s="252">
        <f>VLOOKUP(B508,INSUMOS!$K$4:$N$135,4,FALSE)</f>
        <v>12000</v>
      </c>
      <c r="I508" s="322">
        <f>+I529/8</f>
        <v>2.7902753480201936E-2</v>
      </c>
      <c r="J508" s="323">
        <f>+H508*I508</f>
        <v>334.83304176242325</v>
      </c>
    </row>
    <row r="509" spans="2:10" ht="15" x14ac:dyDescent="0.25">
      <c r="B509" s="262"/>
      <c r="C509" s="398"/>
      <c r="D509" s="399"/>
      <c r="E509" s="399"/>
      <c r="F509" s="400"/>
      <c r="G509" s="263"/>
      <c r="H509" s="264"/>
      <c r="I509" s="260"/>
      <c r="J509" s="261"/>
    </row>
    <row r="510" spans="2:10" ht="15" x14ac:dyDescent="0.25">
      <c r="B510" s="262"/>
      <c r="C510" s="11"/>
      <c r="D510" s="10"/>
      <c r="E510" s="10"/>
      <c r="F510" s="9"/>
      <c r="G510" s="263"/>
      <c r="H510" s="264"/>
      <c r="I510" s="265"/>
      <c r="J510" s="261"/>
    </row>
    <row r="511" spans="2:10" ht="16.5" thickBot="1" x14ac:dyDescent="0.3">
      <c r="B511" s="266"/>
      <c r="C511" s="228"/>
      <c r="D511" s="267"/>
      <c r="E511" s="267"/>
      <c r="F511" s="267"/>
      <c r="G511" s="268"/>
      <c r="H511" s="269"/>
      <c r="I511" s="270" t="s">
        <v>1061</v>
      </c>
      <c r="J511" s="271">
        <f>ROUND((SUM(J507:J510)),2)</f>
        <v>700.69</v>
      </c>
    </row>
    <row r="512" spans="2:10" ht="16.5" thickBot="1" x14ac:dyDescent="0.3">
      <c r="B512" s="272" t="s">
        <v>1062</v>
      </c>
      <c r="C512" s="273"/>
      <c r="D512" s="274"/>
      <c r="E512" s="274"/>
      <c r="F512" s="274"/>
      <c r="G512" s="274"/>
      <c r="H512" s="275"/>
      <c r="I512" s="276"/>
      <c r="J512" s="277"/>
    </row>
    <row r="513" spans="2:10" ht="16.5" thickBot="1" x14ac:dyDescent="0.3">
      <c r="B513" s="346" t="s">
        <v>43</v>
      </c>
      <c r="C513" s="401" t="s">
        <v>44</v>
      </c>
      <c r="D513" s="402"/>
      <c r="E513" s="403"/>
      <c r="F513" s="279"/>
      <c r="G513" s="280" t="s">
        <v>45</v>
      </c>
      <c r="H513" s="280" t="s">
        <v>109</v>
      </c>
      <c r="I513" s="280" t="s">
        <v>4</v>
      </c>
      <c r="J513" s="347" t="s">
        <v>1060</v>
      </c>
    </row>
    <row r="514" spans="2:10" ht="15.75" x14ac:dyDescent="0.25">
      <c r="B514" s="257"/>
      <c r="C514" s="5" t="s">
        <v>1081</v>
      </c>
      <c r="D514" s="4"/>
      <c r="E514" s="4"/>
      <c r="F514" s="3"/>
      <c r="G514" s="258" t="s">
        <v>1082</v>
      </c>
      <c r="H514" s="259">
        <v>4500</v>
      </c>
      <c r="I514" s="260">
        <v>0.8</v>
      </c>
      <c r="J514" s="348">
        <f>I514*H514</f>
        <v>3600</v>
      </c>
    </row>
    <row r="515" spans="2:10" ht="15" x14ac:dyDescent="0.25">
      <c r="B515" s="262"/>
      <c r="C515" s="11"/>
      <c r="D515" s="10"/>
      <c r="E515" s="10"/>
      <c r="F515" s="9"/>
      <c r="G515" s="263"/>
      <c r="H515" s="264"/>
      <c r="I515" s="265"/>
      <c r="J515" s="324"/>
    </row>
    <row r="516" spans="2:10" ht="15" x14ac:dyDescent="0.25">
      <c r="B516" s="262"/>
      <c r="C516" s="11"/>
      <c r="D516" s="10"/>
      <c r="E516" s="10"/>
      <c r="F516" s="9"/>
      <c r="G516" s="263"/>
      <c r="H516" s="264"/>
      <c r="I516" s="265"/>
      <c r="J516" s="324"/>
    </row>
    <row r="517" spans="2:10" ht="15" x14ac:dyDescent="0.25">
      <c r="B517" s="262"/>
      <c r="C517" s="11"/>
      <c r="D517" s="10"/>
      <c r="E517" s="10"/>
      <c r="F517" s="9"/>
      <c r="G517" s="263"/>
      <c r="H517" s="264"/>
      <c r="I517" s="265"/>
      <c r="J517" s="324"/>
    </row>
    <row r="518" spans="2:10" ht="16.5" thickBot="1" x14ac:dyDescent="0.3">
      <c r="B518" s="266"/>
      <c r="C518" s="228"/>
      <c r="D518" s="228"/>
      <c r="E518" s="228"/>
      <c r="F518" s="228"/>
      <c r="G518" s="286"/>
      <c r="H518" s="287"/>
      <c r="I518" s="270" t="s">
        <v>1061</v>
      </c>
      <c r="J518" s="271">
        <f>+SUM(J514:J517)</f>
        <v>3600</v>
      </c>
    </row>
    <row r="519" spans="2:10" ht="16.5" thickBot="1" x14ac:dyDescent="0.3">
      <c r="B519" s="349" t="s">
        <v>1068</v>
      </c>
      <c r="C519" s="290"/>
      <c r="D519" s="228"/>
      <c r="E519" s="228"/>
      <c r="F519" s="228"/>
      <c r="G519" s="228"/>
      <c r="H519" s="235"/>
      <c r="I519" s="291"/>
      <c r="J519" s="344"/>
    </row>
    <row r="520" spans="2:10" ht="16.5" thickBot="1" x14ac:dyDescent="0.3">
      <c r="B520" s="350" t="s">
        <v>43</v>
      </c>
      <c r="C520" s="8" t="s">
        <v>44</v>
      </c>
      <c r="D520" s="7"/>
      <c r="E520" s="6"/>
      <c r="F520" s="293"/>
      <c r="G520" s="331" t="s">
        <v>107</v>
      </c>
      <c r="H520" s="294" t="s">
        <v>108</v>
      </c>
      <c r="I520" s="294" t="s">
        <v>1069</v>
      </c>
      <c r="J520" s="351" t="s">
        <v>1060</v>
      </c>
    </row>
    <row r="521" spans="2:10" ht="15" customHeight="1" x14ac:dyDescent="0.25">
      <c r="B521" s="257" t="s">
        <v>115</v>
      </c>
      <c r="C521" s="395" t="str">
        <f>VLOOKUP(B521,INSUMOS!$Q$4:$V$11,2,FALSE)</f>
        <v>Volqueta sencilla (6 M3)</v>
      </c>
      <c r="D521" s="396"/>
      <c r="E521" s="396"/>
      <c r="F521" s="397"/>
      <c r="G521" s="258" t="str">
        <f>VLOOKUP(B521,INSUMOS!$Q$4:$V$11,5,FALSE)</f>
        <v xml:space="preserve">6 M3 VJ </v>
      </c>
      <c r="H521" s="259">
        <f>VLOOKUP(B521,INSUMOS!$Q$4:$V$11,6,FALSE)</f>
        <v>120000</v>
      </c>
      <c r="I521" s="366">
        <v>7.0000000000000001E-3</v>
      </c>
      <c r="J521" s="324">
        <f>+H521*I521</f>
        <v>840</v>
      </c>
    </row>
    <row r="522" spans="2:10" ht="15" x14ac:dyDescent="0.25">
      <c r="B522" s="257"/>
      <c r="C522" s="11"/>
      <c r="D522" s="10"/>
      <c r="E522" s="10"/>
      <c r="F522" s="9"/>
      <c r="G522" s="258"/>
      <c r="H522" s="259"/>
      <c r="I522" s="260"/>
      <c r="J522" s="324"/>
    </row>
    <row r="523" spans="2:10" ht="15" x14ac:dyDescent="0.25">
      <c r="B523" s="257"/>
      <c r="C523" s="11"/>
      <c r="D523" s="10"/>
      <c r="E523" s="10"/>
      <c r="F523" s="9"/>
      <c r="G523" s="258"/>
      <c r="H523" s="259"/>
      <c r="I523" s="260"/>
      <c r="J523" s="324">
        <f>+G523*I523</f>
        <v>0</v>
      </c>
    </row>
    <row r="524" spans="2:10" ht="15" x14ac:dyDescent="0.25">
      <c r="B524" s="257"/>
      <c r="C524" s="11"/>
      <c r="D524" s="10"/>
      <c r="E524" s="10"/>
      <c r="F524" s="9"/>
      <c r="G524" s="258"/>
      <c r="H524" s="259"/>
      <c r="I524" s="260"/>
      <c r="J524" s="324">
        <f>+G524*I524</f>
        <v>0</v>
      </c>
    </row>
    <row r="525" spans="2:10" ht="15" x14ac:dyDescent="0.25">
      <c r="B525" s="262"/>
      <c r="C525" s="11"/>
      <c r="D525" s="10"/>
      <c r="E525" s="10"/>
      <c r="F525" s="9"/>
      <c r="G525" s="263"/>
      <c r="H525" s="264"/>
      <c r="I525" s="265"/>
      <c r="J525" s="261">
        <f>+G525*I525</f>
        <v>0</v>
      </c>
    </row>
    <row r="526" spans="2:10" ht="16.5" thickBot="1" x14ac:dyDescent="0.3">
      <c r="B526" s="266"/>
      <c r="C526" s="228"/>
      <c r="D526" s="228"/>
      <c r="E526" s="228"/>
      <c r="F526" s="228"/>
      <c r="G526" s="228"/>
      <c r="H526" s="235"/>
      <c r="I526" s="298" t="s">
        <v>1061</v>
      </c>
      <c r="J526" s="271">
        <f>ROUND((SUM(J521:J525)),2)</f>
        <v>840</v>
      </c>
    </row>
    <row r="527" spans="2:10" ht="16.5" thickBot="1" x14ac:dyDescent="0.3">
      <c r="B527" s="349" t="s">
        <v>1070</v>
      </c>
      <c r="C527" s="290"/>
      <c r="D527" s="228"/>
      <c r="E527" s="228"/>
      <c r="F527" s="228"/>
      <c r="G527" s="228"/>
      <c r="H527" s="235"/>
      <c r="I527" s="291"/>
      <c r="J527" s="344"/>
    </row>
    <row r="528" spans="2:10" ht="16.5" thickBot="1" x14ac:dyDescent="0.3">
      <c r="B528" s="350" t="s">
        <v>43</v>
      </c>
      <c r="C528" s="8" t="s">
        <v>44</v>
      </c>
      <c r="D528" s="7"/>
      <c r="E528" s="6"/>
      <c r="F528" s="293"/>
      <c r="G528" s="294" t="s">
        <v>45</v>
      </c>
      <c r="H528" s="294" t="s">
        <v>109</v>
      </c>
      <c r="I528" s="294" t="s">
        <v>1059</v>
      </c>
      <c r="J528" s="351" t="s">
        <v>1060</v>
      </c>
    </row>
    <row r="529" spans="2:12" ht="15" x14ac:dyDescent="0.25">
      <c r="B529" s="257" t="s">
        <v>71</v>
      </c>
      <c r="C529" s="5" t="str">
        <f>VLOOKUP(B529,CUADRILLAS!$B$4:$G$19,2,)</f>
        <v>CUADRILLA I (Oficial + ayudante)</v>
      </c>
      <c r="D529" s="4"/>
      <c r="E529" s="4"/>
      <c r="F529" s="3"/>
      <c r="G529" s="259" t="str">
        <f>VLOOKUP(B529,CUADRILLAS!$B$4:$G$19,5,FALSE)</f>
        <v>H</v>
      </c>
      <c r="H529" s="296">
        <f>VLOOKUP(B529,CUADRILLAS!$B$4:$G$19,6,FALSE)</f>
        <v>63785.417685</v>
      </c>
      <c r="I529" s="260">
        <v>0.22322202784161549</v>
      </c>
      <c r="J529" s="352">
        <f>H529*I529</f>
        <v>14238.310282370143</v>
      </c>
    </row>
    <row r="530" spans="2:12" ht="15" x14ac:dyDescent="0.25">
      <c r="B530" s="262"/>
      <c r="C530" s="2"/>
      <c r="D530" s="1"/>
      <c r="E530" s="1"/>
      <c r="F530" s="15"/>
      <c r="G530" s="263"/>
      <c r="H530" s="264"/>
      <c r="I530" s="265"/>
      <c r="J530" s="261"/>
    </row>
    <row r="531" spans="2:12" ht="15" x14ac:dyDescent="0.25">
      <c r="B531" s="262"/>
      <c r="C531" s="299"/>
      <c r="D531" s="300"/>
      <c r="E531" s="300"/>
      <c r="F531" s="301"/>
      <c r="G531" s="263"/>
      <c r="H531" s="264"/>
      <c r="I531" s="265"/>
      <c r="J531" s="261"/>
    </row>
    <row r="532" spans="2:12" ht="15" x14ac:dyDescent="0.25">
      <c r="B532" s="262"/>
      <c r="C532" s="299"/>
      <c r="D532" s="300"/>
      <c r="E532" s="300"/>
      <c r="F532" s="301"/>
      <c r="G532" s="263"/>
      <c r="H532" s="264"/>
      <c r="I532" s="265"/>
      <c r="J532" s="261"/>
    </row>
    <row r="533" spans="2:12" ht="15" x14ac:dyDescent="0.25">
      <c r="B533" s="262"/>
      <c r="C533" s="299"/>
      <c r="D533" s="300"/>
      <c r="E533" s="300"/>
      <c r="F533" s="301"/>
      <c r="G533" s="263"/>
      <c r="H533" s="264"/>
      <c r="I533" s="265"/>
      <c r="J533" s="261">
        <f>+H533*I533</f>
        <v>0</v>
      </c>
    </row>
    <row r="534" spans="2:12" ht="15.75" x14ac:dyDescent="0.25">
      <c r="B534" s="266"/>
      <c r="C534" s="228"/>
      <c r="D534" s="228"/>
      <c r="E534" s="228"/>
      <c r="F534" s="228"/>
      <c r="G534" s="286"/>
      <c r="H534" s="235"/>
      <c r="I534" s="302" t="s">
        <v>1061</v>
      </c>
      <c r="J534" s="353">
        <f>SUM(J529:J533)</f>
        <v>14238.310282370143</v>
      </c>
    </row>
    <row r="535" spans="2:12" ht="15.75" thickBot="1" x14ac:dyDescent="0.3">
      <c r="B535" s="266"/>
      <c r="C535" s="228"/>
      <c r="D535" s="228"/>
      <c r="E535" s="228"/>
      <c r="F535" s="228"/>
      <c r="G535" s="286"/>
      <c r="H535" s="235"/>
      <c r="I535" s="236"/>
      <c r="J535" s="344"/>
    </row>
    <row r="536" spans="2:12" ht="16.5" thickBot="1" x14ac:dyDescent="0.3">
      <c r="B536" s="266"/>
      <c r="C536" s="228"/>
      <c r="D536" s="228"/>
      <c r="E536" s="228"/>
      <c r="F536" s="228"/>
      <c r="G536" s="14" t="s">
        <v>1071</v>
      </c>
      <c r="H536" s="13"/>
      <c r="I536" s="12"/>
      <c r="J536" s="354">
        <f>ROUND((SUM(J534+J526+J518+J511)),2)</f>
        <v>19379</v>
      </c>
      <c r="L536" s="95">
        <v>19379</v>
      </c>
    </row>
    <row r="537" spans="2:12" ht="16.5" thickBot="1" x14ac:dyDescent="0.3">
      <c r="B537" s="266"/>
      <c r="C537" s="228"/>
      <c r="D537" s="228"/>
      <c r="E537" s="228"/>
      <c r="F537" s="228"/>
      <c r="G537" s="394"/>
      <c r="H537" s="394"/>
      <c r="I537" s="305"/>
      <c r="J537" s="354"/>
    </row>
    <row r="538" spans="2:12" ht="16.5" thickBot="1" x14ac:dyDescent="0.3">
      <c r="B538" s="266"/>
      <c r="C538" s="228"/>
      <c r="D538" s="228"/>
      <c r="E538" s="228"/>
      <c r="F538" s="228"/>
      <c r="G538" s="14" t="s">
        <v>1072</v>
      </c>
      <c r="H538" s="13"/>
      <c r="I538" s="12"/>
      <c r="J538" s="355">
        <f>+J536+J537</f>
        <v>19379</v>
      </c>
    </row>
    <row r="539" spans="2:12" ht="14.25" thickBot="1" x14ac:dyDescent="0.3">
      <c r="B539" s="356"/>
      <c r="C539" s="357"/>
      <c r="D539" s="357"/>
      <c r="E539" s="357"/>
      <c r="F539" s="357"/>
      <c r="G539" s="357"/>
      <c r="H539" s="357"/>
      <c r="I539" s="357"/>
      <c r="J539" s="358"/>
    </row>
    <row r="540" spans="2:12" x14ac:dyDescent="0.25">
      <c r="B540" s="419"/>
      <c r="C540" s="420"/>
      <c r="D540" s="423" t="s">
        <v>1052</v>
      </c>
      <c r="E540" s="424"/>
      <c r="F540" s="424"/>
      <c r="G540" s="424"/>
      <c r="H540" s="425"/>
      <c r="I540" s="429"/>
      <c r="J540" s="430"/>
    </row>
    <row r="541" spans="2:12" ht="14.25" thickBot="1" x14ac:dyDescent="0.3">
      <c r="B541" s="421"/>
      <c r="C541" s="422"/>
      <c r="D541" s="426"/>
      <c r="E541" s="427"/>
      <c r="F541" s="427"/>
      <c r="G541" s="427"/>
      <c r="H541" s="428"/>
      <c r="I541" s="431"/>
      <c r="J541" s="432"/>
    </row>
    <row r="542" spans="2:12" ht="16.5" thickBot="1" x14ac:dyDescent="0.3">
      <c r="B542" s="337"/>
      <c r="C542" s="219"/>
      <c r="D542" s="219"/>
      <c r="E542" s="219"/>
      <c r="F542" s="219"/>
      <c r="G542" s="219"/>
      <c r="H542" s="219"/>
      <c r="I542" s="219"/>
      <c r="J542" s="338"/>
    </row>
    <row r="543" spans="2:12" ht="16.5" thickBot="1" x14ac:dyDescent="0.3">
      <c r="B543" s="433" t="s">
        <v>1053</v>
      </c>
      <c r="C543" s="434"/>
      <c r="D543" s="222"/>
      <c r="E543" s="223" t="s">
        <v>171</v>
      </c>
      <c r="F543" s="222">
        <v>30</v>
      </c>
      <c r="G543" s="222" t="s">
        <v>462</v>
      </c>
      <c r="H543" s="223">
        <v>4</v>
      </c>
      <c r="I543" s="224" t="s">
        <v>1054</v>
      </c>
      <c r="J543" s="225">
        <v>2026</v>
      </c>
    </row>
    <row r="544" spans="2:12" ht="15.75" thickBot="1" x14ac:dyDescent="0.3">
      <c r="B544" s="266"/>
      <c r="C544" s="228"/>
      <c r="D544" s="228"/>
      <c r="E544" s="228"/>
      <c r="F544" s="228"/>
      <c r="G544" s="228"/>
      <c r="H544" s="228"/>
      <c r="I544" s="228"/>
      <c r="J544" s="339"/>
    </row>
    <row r="545" spans="2:10" x14ac:dyDescent="0.25">
      <c r="B545" s="435" t="s">
        <v>1055</v>
      </c>
      <c r="C545" s="436"/>
      <c r="D545" s="441" t="s">
        <v>1110</v>
      </c>
      <c r="E545" s="442"/>
      <c r="F545" s="442"/>
      <c r="G545" s="442"/>
      <c r="H545" s="442"/>
      <c r="I545" s="442"/>
      <c r="J545" s="443"/>
    </row>
    <row r="546" spans="2:10" x14ac:dyDescent="0.25">
      <c r="B546" s="437"/>
      <c r="C546" s="438"/>
      <c r="D546" s="444"/>
      <c r="E546" s="445"/>
      <c r="F546" s="445"/>
      <c r="G546" s="445"/>
      <c r="H546" s="445"/>
      <c r="I546" s="445"/>
      <c r="J546" s="446"/>
    </row>
    <row r="547" spans="2:10" ht="14.25" thickBot="1" x14ac:dyDescent="0.3">
      <c r="B547" s="439"/>
      <c r="C547" s="440"/>
      <c r="D547" s="447"/>
      <c r="E547" s="448"/>
      <c r="F547" s="448"/>
      <c r="G547" s="448"/>
      <c r="H547" s="448"/>
      <c r="I547" s="448"/>
      <c r="J547" s="449"/>
    </row>
    <row r="548" spans="2:10" ht="16.5" thickBot="1" x14ac:dyDescent="0.3">
      <c r="B548" s="404"/>
      <c r="C548" s="405"/>
      <c r="D548" s="405"/>
      <c r="E548" s="405"/>
      <c r="F548" s="405"/>
      <c r="G548" s="405"/>
      <c r="H548" s="405"/>
      <c r="I548" s="405"/>
      <c r="J548" s="406"/>
    </row>
    <row r="549" spans="2:10" ht="16.5" thickBot="1" x14ac:dyDescent="0.3">
      <c r="B549" s="340" t="s">
        <v>1056</v>
      </c>
      <c r="C549" s="232">
        <v>3.7</v>
      </c>
      <c r="D549" s="407" t="str">
        <f>'ppto oficial '!B19</f>
        <v>Mantenimiento y reposición e instalación de enchape mármol piedra muñeca</v>
      </c>
      <c r="E549" s="408"/>
      <c r="F549" s="408"/>
      <c r="G549" s="408"/>
      <c r="H549" s="409"/>
      <c r="I549" s="232" t="s">
        <v>1057</v>
      </c>
      <c r="J549" s="341" t="str">
        <f>VLOOKUP(C549,'ppto oficial '!$A$5:$D$30,3,FALSE)</f>
        <v>m2</v>
      </c>
    </row>
    <row r="550" spans="2:10" ht="15.75" thickBot="1" x14ac:dyDescent="0.3">
      <c r="B550" s="266"/>
      <c r="C550" s="228"/>
      <c r="D550" s="228"/>
      <c r="E550" s="228"/>
      <c r="F550" s="228"/>
      <c r="G550" s="228"/>
      <c r="H550" s="235"/>
      <c r="I550" s="236"/>
      <c r="J550" s="342"/>
    </row>
    <row r="551" spans="2:10" ht="16.5" thickBot="1" x14ac:dyDescent="0.3">
      <c r="B551" s="343" t="s">
        <v>1058</v>
      </c>
      <c r="C551" s="239"/>
      <c r="D551" s="228"/>
      <c r="E551" s="228"/>
      <c r="F551" s="228"/>
      <c r="G551" s="228"/>
      <c r="H551" s="235"/>
      <c r="I551" s="236"/>
      <c r="J551" s="344"/>
    </row>
    <row r="552" spans="2:10" ht="16.5" thickBot="1" x14ac:dyDescent="0.3">
      <c r="B552" s="318" t="s">
        <v>43</v>
      </c>
      <c r="C552" s="410" t="s">
        <v>2</v>
      </c>
      <c r="D552" s="411"/>
      <c r="E552" s="412"/>
      <c r="F552" s="319"/>
      <c r="G552" s="320" t="s">
        <v>105</v>
      </c>
      <c r="H552" s="320" t="s">
        <v>106</v>
      </c>
      <c r="I552" s="320" t="s">
        <v>1059</v>
      </c>
      <c r="J552" s="321" t="s">
        <v>1060</v>
      </c>
    </row>
    <row r="553" spans="2:10" ht="15" x14ac:dyDescent="0.25">
      <c r="B553" s="257" t="s">
        <v>113</v>
      </c>
      <c r="C553" s="413" t="s">
        <v>114</v>
      </c>
      <c r="D553" s="414"/>
      <c r="E553" s="414"/>
      <c r="F553" s="415"/>
      <c r="G553" s="251" t="s">
        <v>1073</v>
      </c>
      <c r="H553" s="252">
        <f>+J575</f>
        <v>33463.20631969488</v>
      </c>
      <c r="I553" s="314">
        <v>0.05</v>
      </c>
      <c r="J553" s="345">
        <v>365.85710977962196</v>
      </c>
    </row>
    <row r="554" spans="2:10" ht="15" x14ac:dyDescent="0.25">
      <c r="B554" s="262" t="s">
        <v>169</v>
      </c>
      <c r="C554" s="416" t="str">
        <f>VLOOKUP(B554,INSUMOS!$K$4:$N$135,2,FALSE)</f>
        <v xml:space="preserve">Andamio certificado x modulo </v>
      </c>
      <c r="D554" s="417"/>
      <c r="E554" s="417"/>
      <c r="F554" s="418"/>
      <c r="G554" s="251" t="str">
        <f>VLOOKUP(B554,INSUMOS!$K$4:$N$135,3,FALSE)</f>
        <v>DIA</v>
      </c>
      <c r="H554" s="252">
        <f>VLOOKUP(B554,INSUMOS!$K$4:$N$135,4,FALSE)</f>
        <v>12000</v>
      </c>
      <c r="I554" s="322">
        <f>+I575/8</f>
        <v>6.5577696937234697E-2</v>
      </c>
      <c r="J554" s="323">
        <f>+H554*I554</f>
        <v>786.93236324681641</v>
      </c>
    </row>
    <row r="555" spans="2:10" ht="15" x14ac:dyDescent="0.25">
      <c r="B555" s="262"/>
      <c r="C555" s="398"/>
      <c r="D555" s="399"/>
      <c r="E555" s="399"/>
      <c r="F555" s="400"/>
      <c r="G555" s="263"/>
      <c r="H555" s="264"/>
      <c r="I555" s="260"/>
      <c r="J555" s="261"/>
    </row>
    <row r="556" spans="2:10" ht="15" x14ac:dyDescent="0.25">
      <c r="B556" s="262"/>
      <c r="C556" s="11"/>
      <c r="D556" s="10"/>
      <c r="E556" s="10"/>
      <c r="F556" s="9"/>
      <c r="G556" s="263"/>
      <c r="H556" s="264"/>
      <c r="I556" s="265"/>
      <c r="J556" s="261"/>
    </row>
    <row r="557" spans="2:10" ht="16.5" thickBot="1" x14ac:dyDescent="0.3">
      <c r="B557" s="266"/>
      <c r="C557" s="228"/>
      <c r="D557" s="267"/>
      <c r="E557" s="267"/>
      <c r="F557" s="267"/>
      <c r="G557" s="268"/>
      <c r="H557" s="269"/>
      <c r="I557" s="270" t="s">
        <v>1061</v>
      </c>
      <c r="J557" s="271">
        <f>ROUND((SUM(J553:J556)),2)</f>
        <v>1152.79</v>
      </c>
    </row>
    <row r="558" spans="2:10" ht="16.5" thickBot="1" x14ac:dyDescent="0.3">
      <c r="B558" s="272" t="s">
        <v>1062</v>
      </c>
      <c r="C558" s="273"/>
      <c r="D558" s="274"/>
      <c r="E558" s="274"/>
      <c r="F558" s="274"/>
      <c r="G558" s="274"/>
      <c r="H558" s="275"/>
      <c r="I558" s="276"/>
      <c r="J558" s="277"/>
    </row>
    <row r="559" spans="2:10" ht="16.5" thickBot="1" x14ac:dyDescent="0.3">
      <c r="B559" s="346" t="s">
        <v>43</v>
      </c>
      <c r="C559" s="401" t="s">
        <v>44</v>
      </c>
      <c r="D559" s="402"/>
      <c r="E559" s="403"/>
      <c r="F559" s="279"/>
      <c r="G559" s="280" t="s">
        <v>45</v>
      </c>
      <c r="H559" s="280" t="s">
        <v>109</v>
      </c>
      <c r="I559" s="280" t="s">
        <v>4</v>
      </c>
      <c r="J559" s="347" t="s">
        <v>1060</v>
      </c>
    </row>
    <row r="560" spans="2:10" ht="15.75" x14ac:dyDescent="0.25">
      <c r="B560" s="257" t="s">
        <v>923</v>
      </c>
      <c r="C560" s="5" t="str">
        <f>VLOOKUP(B560,INSUMOS!$B$3:$E$310,2,FALSE)</f>
        <v>Pegacor gris</v>
      </c>
      <c r="D560" s="4"/>
      <c r="E560" s="4"/>
      <c r="F560" s="3"/>
      <c r="G560" s="258" t="str">
        <f>VLOOKUP(B560,INSUMOS!$B$3:$E$310,3,FALSE)</f>
        <v>KG</v>
      </c>
      <c r="H560" s="259">
        <f>VLOOKUP(B560,INSUMOS!$B$3:$E$310,4,FALSE)</f>
        <v>1436</v>
      </c>
      <c r="I560" s="260">
        <v>2.5</v>
      </c>
      <c r="J560" s="348">
        <f>I560*H560</f>
        <v>3590</v>
      </c>
    </row>
    <row r="561" spans="2:10" ht="15" x14ac:dyDescent="0.25">
      <c r="B561" s="262"/>
      <c r="C561" s="11" t="s">
        <v>1083</v>
      </c>
      <c r="D561" s="10"/>
      <c r="E561" s="10"/>
      <c r="F561" s="9"/>
      <c r="G561" s="263" t="s">
        <v>21</v>
      </c>
      <c r="H561" s="264">
        <v>160000</v>
      </c>
      <c r="I561" s="265">
        <v>1</v>
      </c>
      <c r="J561" s="324">
        <f>+I561*H561</f>
        <v>160000</v>
      </c>
    </row>
    <row r="562" spans="2:10" ht="15" x14ac:dyDescent="0.25">
      <c r="B562" s="262"/>
      <c r="C562" s="11"/>
      <c r="D562" s="10"/>
      <c r="E562" s="10"/>
      <c r="F562" s="9"/>
      <c r="G562" s="263"/>
      <c r="H562" s="264"/>
      <c r="I562" s="265"/>
      <c r="J562" s="324"/>
    </row>
    <row r="563" spans="2:10" ht="15" x14ac:dyDescent="0.25">
      <c r="B563" s="262"/>
      <c r="C563" s="11"/>
      <c r="D563" s="10"/>
      <c r="E563" s="10"/>
      <c r="F563" s="9"/>
      <c r="G563" s="263"/>
      <c r="H563" s="264"/>
      <c r="I563" s="265"/>
      <c r="J563" s="324"/>
    </row>
    <row r="564" spans="2:10" ht="16.5" thickBot="1" x14ac:dyDescent="0.3">
      <c r="B564" s="266"/>
      <c r="C564" s="228"/>
      <c r="D564" s="228"/>
      <c r="E564" s="228"/>
      <c r="F564" s="228"/>
      <c r="G564" s="286"/>
      <c r="H564" s="287"/>
      <c r="I564" s="270" t="s">
        <v>1061</v>
      </c>
      <c r="J564" s="271">
        <f>+SUM(J560:J563)</f>
        <v>163590</v>
      </c>
    </row>
    <row r="565" spans="2:10" ht="16.5" thickBot="1" x14ac:dyDescent="0.3">
      <c r="B565" s="349" t="s">
        <v>1068</v>
      </c>
      <c r="C565" s="290"/>
      <c r="D565" s="228"/>
      <c r="E565" s="228"/>
      <c r="F565" s="228"/>
      <c r="G565" s="228"/>
      <c r="H565" s="235"/>
      <c r="I565" s="291"/>
      <c r="J565" s="344"/>
    </row>
    <row r="566" spans="2:10" ht="16.5" thickBot="1" x14ac:dyDescent="0.3">
      <c r="B566" s="350" t="s">
        <v>43</v>
      </c>
      <c r="C566" s="8" t="s">
        <v>44</v>
      </c>
      <c r="D566" s="7"/>
      <c r="E566" s="6"/>
      <c r="F566" s="293"/>
      <c r="G566" s="331" t="s">
        <v>107</v>
      </c>
      <c r="H566" s="294" t="s">
        <v>108</v>
      </c>
      <c r="I566" s="294" t="s">
        <v>1069</v>
      </c>
      <c r="J566" s="351" t="s">
        <v>1060</v>
      </c>
    </row>
    <row r="567" spans="2:10" ht="15" customHeight="1" x14ac:dyDescent="0.25">
      <c r="B567" s="257" t="s">
        <v>115</v>
      </c>
      <c r="C567" s="395" t="str">
        <f>VLOOKUP(B567,INSUMOS!$Q$4:$V$11,2,FALSE)</f>
        <v>Volqueta sencilla (6 M3)</v>
      </c>
      <c r="D567" s="396"/>
      <c r="E567" s="396"/>
      <c r="F567" s="397"/>
      <c r="G567" s="258" t="str">
        <f>VLOOKUP(B567,INSUMOS!$Q$4:$V$11,5,FALSE)</f>
        <v xml:space="preserve">6 M3 VJ </v>
      </c>
      <c r="H567" s="259">
        <f>VLOOKUP(B567,INSUMOS!$Q$4:$V$11,6,FALSE)</f>
        <v>120000</v>
      </c>
      <c r="I567" s="260">
        <v>0.1</v>
      </c>
      <c r="J567" s="324">
        <f>+H567*I567</f>
        <v>12000</v>
      </c>
    </row>
    <row r="568" spans="2:10" ht="15" x14ac:dyDescent="0.25">
      <c r="B568" s="257"/>
      <c r="C568" s="11"/>
      <c r="D568" s="10"/>
      <c r="E568" s="10"/>
      <c r="F568" s="9"/>
      <c r="G568" s="258"/>
      <c r="H568" s="259"/>
      <c r="I568" s="260"/>
      <c r="J568" s="324"/>
    </row>
    <row r="569" spans="2:10" ht="15" x14ac:dyDescent="0.25">
      <c r="B569" s="257"/>
      <c r="C569" s="11"/>
      <c r="D569" s="10"/>
      <c r="E569" s="10"/>
      <c r="F569" s="9"/>
      <c r="G569" s="258"/>
      <c r="H569" s="259"/>
      <c r="I569" s="260"/>
      <c r="J569" s="324">
        <f>+G569*I569</f>
        <v>0</v>
      </c>
    </row>
    <row r="570" spans="2:10" ht="15" x14ac:dyDescent="0.25">
      <c r="B570" s="257"/>
      <c r="C570" s="11"/>
      <c r="D570" s="10"/>
      <c r="E570" s="10"/>
      <c r="F570" s="9"/>
      <c r="G570" s="258"/>
      <c r="H570" s="259"/>
      <c r="I570" s="260"/>
      <c r="J570" s="324">
        <f>+G570*I570</f>
        <v>0</v>
      </c>
    </row>
    <row r="571" spans="2:10" ht="15" x14ac:dyDescent="0.25">
      <c r="B571" s="262"/>
      <c r="C571" s="11"/>
      <c r="D571" s="10"/>
      <c r="E571" s="10"/>
      <c r="F571" s="9"/>
      <c r="G571" s="263"/>
      <c r="H571" s="264"/>
      <c r="I571" s="265"/>
      <c r="J571" s="261">
        <f>+G571*I571</f>
        <v>0</v>
      </c>
    </row>
    <row r="572" spans="2:10" ht="16.5" thickBot="1" x14ac:dyDescent="0.3">
      <c r="B572" s="266"/>
      <c r="C572" s="228"/>
      <c r="D572" s="228"/>
      <c r="E572" s="228"/>
      <c r="F572" s="228"/>
      <c r="G572" s="228"/>
      <c r="H572" s="235"/>
      <c r="I572" s="298" t="s">
        <v>1061</v>
      </c>
      <c r="J572" s="271">
        <f>ROUND((SUM(J567:J571)),2)</f>
        <v>12000</v>
      </c>
    </row>
    <row r="573" spans="2:10" ht="16.5" thickBot="1" x14ac:dyDescent="0.3">
      <c r="B573" s="349" t="s">
        <v>1070</v>
      </c>
      <c r="C573" s="290"/>
      <c r="D573" s="228"/>
      <c r="E573" s="228"/>
      <c r="F573" s="228"/>
      <c r="G573" s="228"/>
      <c r="H573" s="235"/>
      <c r="I573" s="291"/>
      <c r="J573" s="344"/>
    </row>
    <row r="574" spans="2:10" ht="16.5" thickBot="1" x14ac:dyDescent="0.3">
      <c r="B574" s="350" t="s">
        <v>43</v>
      </c>
      <c r="C574" s="8" t="s">
        <v>44</v>
      </c>
      <c r="D574" s="7"/>
      <c r="E574" s="6"/>
      <c r="F574" s="293"/>
      <c r="G574" s="294" t="s">
        <v>45</v>
      </c>
      <c r="H574" s="294" t="s">
        <v>109</v>
      </c>
      <c r="I574" s="294" t="s">
        <v>1059</v>
      </c>
      <c r="J574" s="351" t="s">
        <v>1060</v>
      </c>
    </row>
    <row r="575" spans="2:10" ht="15" x14ac:dyDescent="0.25">
      <c r="B575" s="257" t="s">
        <v>71</v>
      </c>
      <c r="C575" s="5" t="str">
        <f>VLOOKUP(B575,CUADRILLAS!$B$4:$G$19,2,)</f>
        <v>CUADRILLA I (Oficial + ayudante)</v>
      </c>
      <c r="D575" s="4"/>
      <c r="E575" s="4"/>
      <c r="F575" s="3"/>
      <c r="G575" s="259" t="str">
        <f>VLOOKUP(B575,CUADRILLAS!$B$4:$G$19,5,FALSE)</f>
        <v>H</v>
      </c>
      <c r="H575" s="296">
        <f>VLOOKUP(B575,CUADRILLAS!$B$4:$G$19,6,FALSE)</f>
        <v>63785.417685</v>
      </c>
      <c r="I575" s="260">
        <v>0.52462157549787758</v>
      </c>
      <c r="J575" s="352">
        <f>H575*I575</f>
        <v>33463.20631969488</v>
      </c>
    </row>
    <row r="576" spans="2:10" ht="15" x14ac:dyDescent="0.25">
      <c r="B576" s="262"/>
      <c r="C576" s="2"/>
      <c r="D576" s="1"/>
      <c r="E576" s="1"/>
      <c r="F576" s="15"/>
      <c r="G576" s="263"/>
      <c r="H576" s="264"/>
      <c r="I576" s="265"/>
      <c r="J576" s="261"/>
    </row>
    <row r="577" spans="2:12" ht="15" x14ac:dyDescent="0.25">
      <c r="B577" s="262"/>
      <c r="C577" s="299"/>
      <c r="D577" s="300"/>
      <c r="E577" s="300"/>
      <c r="F577" s="301"/>
      <c r="G577" s="263"/>
      <c r="H577" s="264"/>
      <c r="I577" s="265"/>
      <c r="J577" s="261"/>
    </row>
    <row r="578" spans="2:12" ht="15" x14ac:dyDescent="0.25">
      <c r="B578" s="262"/>
      <c r="C578" s="299"/>
      <c r="D578" s="300"/>
      <c r="E578" s="300"/>
      <c r="F578" s="301"/>
      <c r="G578" s="263"/>
      <c r="H578" s="264"/>
      <c r="I578" s="265"/>
      <c r="J578" s="261"/>
    </row>
    <row r="579" spans="2:12" ht="15" x14ac:dyDescent="0.25">
      <c r="B579" s="262"/>
      <c r="C579" s="299"/>
      <c r="D579" s="300"/>
      <c r="E579" s="300"/>
      <c r="F579" s="301"/>
      <c r="G579" s="263"/>
      <c r="H579" s="264"/>
      <c r="I579" s="265"/>
      <c r="J579" s="261">
        <f>+H579*I579</f>
        <v>0</v>
      </c>
    </row>
    <row r="580" spans="2:12" ht="15.75" x14ac:dyDescent="0.25">
      <c r="B580" s="266"/>
      <c r="C580" s="228"/>
      <c r="D580" s="228"/>
      <c r="E580" s="228"/>
      <c r="F580" s="228"/>
      <c r="G580" s="286"/>
      <c r="H580" s="235"/>
      <c r="I580" s="302" t="s">
        <v>1061</v>
      </c>
      <c r="J580" s="353">
        <f>SUM(J575:J579)</f>
        <v>33463.20631969488</v>
      </c>
    </row>
    <row r="581" spans="2:12" ht="15.75" thickBot="1" x14ac:dyDescent="0.3">
      <c r="B581" s="266"/>
      <c r="C581" s="228"/>
      <c r="D581" s="228"/>
      <c r="E581" s="228"/>
      <c r="F581" s="228"/>
      <c r="G581" s="286"/>
      <c r="H581" s="235"/>
      <c r="I581" s="236"/>
      <c r="J581" s="344"/>
    </row>
    <row r="582" spans="2:12" ht="16.5" thickBot="1" x14ac:dyDescent="0.3">
      <c r="B582" s="266"/>
      <c r="C582" s="228"/>
      <c r="D582" s="228"/>
      <c r="E582" s="228"/>
      <c r="F582" s="228"/>
      <c r="G582" s="14" t="s">
        <v>1071</v>
      </c>
      <c r="H582" s="13"/>
      <c r="I582" s="12"/>
      <c r="J582" s="354">
        <f>ROUND((SUM(J580+J572+J564+J557)),2)</f>
        <v>210206</v>
      </c>
      <c r="L582" s="95">
        <v>210206</v>
      </c>
    </row>
    <row r="583" spans="2:12" ht="16.5" thickBot="1" x14ac:dyDescent="0.3">
      <c r="B583" s="266"/>
      <c r="C583" s="228"/>
      <c r="D583" s="228"/>
      <c r="E583" s="228"/>
      <c r="F583" s="228"/>
      <c r="G583" s="394"/>
      <c r="H583" s="394"/>
      <c r="I583" s="305"/>
      <c r="J583" s="354"/>
    </row>
    <row r="584" spans="2:12" ht="16.5" thickBot="1" x14ac:dyDescent="0.3">
      <c r="B584" s="266"/>
      <c r="C584" s="228"/>
      <c r="D584" s="228"/>
      <c r="E584" s="228"/>
      <c r="F584" s="228"/>
      <c r="G584" s="14" t="s">
        <v>1072</v>
      </c>
      <c r="H584" s="13"/>
      <c r="I584" s="12"/>
      <c r="J584" s="355">
        <f>+J582+J583</f>
        <v>210206</v>
      </c>
    </row>
    <row r="585" spans="2:12" ht="14.25" thickBot="1" x14ac:dyDescent="0.3">
      <c r="B585" s="356"/>
      <c r="C585" s="357"/>
      <c r="D585" s="357"/>
      <c r="E585" s="357"/>
      <c r="F585" s="357"/>
      <c r="G585" s="357"/>
      <c r="H585" s="357"/>
      <c r="I585" s="357"/>
      <c r="J585" s="358"/>
    </row>
    <row r="586" spans="2:12" x14ac:dyDescent="0.25">
      <c r="B586" s="419"/>
      <c r="C586" s="420"/>
      <c r="D586" s="423" t="s">
        <v>1052</v>
      </c>
      <c r="E586" s="424"/>
      <c r="F586" s="424"/>
      <c r="G586" s="424"/>
      <c r="H586" s="425"/>
      <c r="I586" s="429"/>
      <c r="J586" s="430"/>
    </row>
    <row r="587" spans="2:12" ht="14.25" thickBot="1" x14ac:dyDescent="0.3">
      <c r="B587" s="421"/>
      <c r="C587" s="422"/>
      <c r="D587" s="426"/>
      <c r="E587" s="427"/>
      <c r="F587" s="427"/>
      <c r="G587" s="427"/>
      <c r="H587" s="428"/>
      <c r="I587" s="431"/>
      <c r="J587" s="432"/>
    </row>
    <row r="588" spans="2:12" ht="16.5" thickBot="1" x14ac:dyDescent="0.3">
      <c r="B588" s="337"/>
      <c r="C588" s="219"/>
      <c r="D588" s="219"/>
      <c r="E588" s="219"/>
      <c r="F588" s="219"/>
      <c r="G588" s="219"/>
      <c r="H588" s="219"/>
      <c r="I588" s="219"/>
      <c r="J588" s="338"/>
    </row>
    <row r="589" spans="2:12" ht="16.5" thickBot="1" x14ac:dyDescent="0.3">
      <c r="B589" s="433" t="s">
        <v>1053</v>
      </c>
      <c r="C589" s="434"/>
      <c r="D589" s="222"/>
      <c r="E589" s="223" t="s">
        <v>171</v>
      </c>
      <c r="F589" s="222">
        <v>30</v>
      </c>
      <c r="G589" s="222" t="s">
        <v>462</v>
      </c>
      <c r="H589" s="223">
        <v>4</v>
      </c>
      <c r="I589" s="224" t="s">
        <v>1054</v>
      </c>
      <c r="J589" s="225">
        <v>2026</v>
      </c>
    </row>
    <row r="590" spans="2:12" ht="15.75" thickBot="1" x14ac:dyDescent="0.3">
      <c r="B590" s="266"/>
      <c r="C590" s="228"/>
      <c r="D590" s="228"/>
      <c r="E590" s="228"/>
      <c r="F590" s="228"/>
      <c r="G590" s="228"/>
      <c r="H590" s="228"/>
      <c r="I590" s="228"/>
      <c r="J590" s="339"/>
    </row>
    <row r="591" spans="2:12" x14ac:dyDescent="0.25">
      <c r="B591" s="435" t="s">
        <v>1055</v>
      </c>
      <c r="C591" s="436"/>
      <c r="D591" s="441" t="s">
        <v>1110</v>
      </c>
      <c r="E591" s="442"/>
      <c r="F591" s="442"/>
      <c r="G591" s="442"/>
      <c r="H591" s="442"/>
      <c r="I591" s="442"/>
      <c r="J591" s="443"/>
    </row>
    <row r="592" spans="2:12" x14ac:dyDescent="0.25">
      <c r="B592" s="437"/>
      <c r="C592" s="438"/>
      <c r="D592" s="444"/>
      <c r="E592" s="445"/>
      <c r="F592" s="445"/>
      <c r="G592" s="445"/>
      <c r="H592" s="445"/>
      <c r="I592" s="445"/>
      <c r="J592" s="446"/>
    </row>
    <row r="593" spans="2:10" ht="14.25" thickBot="1" x14ac:dyDescent="0.3">
      <c r="B593" s="439"/>
      <c r="C593" s="440"/>
      <c r="D593" s="447"/>
      <c r="E593" s="448"/>
      <c r="F593" s="448"/>
      <c r="G593" s="448"/>
      <c r="H593" s="448"/>
      <c r="I593" s="448"/>
      <c r="J593" s="449"/>
    </row>
    <row r="594" spans="2:10" ht="16.5" thickBot="1" x14ac:dyDescent="0.3">
      <c r="B594" s="404"/>
      <c r="C594" s="405"/>
      <c r="D594" s="405"/>
      <c r="E594" s="405"/>
      <c r="F594" s="405"/>
      <c r="G594" s="405"/>
      <c r="H594" s="405"/>
      <c r="I594" s="405"/>
      <c r="J594" s="406"/>
    </row>
    <row r="595" spans="2:10" ht="39.6" customHeight="1" thickBot="1" x14ac:dyDescent="0.3">
      <c r="B595" s="340" t="s">
        <v>1056</v>
      </c>
      <c r="C595" s="232">
        <v>3.8</v>
      </c>
      <c r="D595" s="407" t="str">
        <f>'ppto oficial '!B20</f>
        <v>Reparación de muro en mampostería en zonas afectadas (Incluye suministro y colocación de ladrillo tolete, mortero de pega)</v>
      </c>
      <c r="E595" s="408"/>
      <c r="F595" s="408"/>
      <c r="G595" s="408"/>
      <c r="H595" s="409"/>
      <c r="I595" s="232" t="s">
        <v>1057</v>
      </c>
      <c r="J595" s="341" t="str">
        <f>VLOOKUP(C595,'ppto oficial '!$A$5:$D$30,3,FALSE)</f>
        <v>m2</v>
      </c>
    </row>
    <row r="596" spans="2:10" ht="15.75" thickBot="1" x14ac:dyDescent="0.3">
      <c r="B596" s="266"/>
      <c r="C596" s="228"/>
      <c r="D596" s="228"/>
      <c r="E596" s="228"/>
      <c r="F596" s="228"/>
      <c r="G596" s="228"/>
      <c r="H596" s="235"/>
      <c r="I596" s="236"/>
      <c r="J596" s="342"/>
    </row>
    <row r="597" spans="2:10" ht="16.5" thickBot="1" x14ac:dyDescent="0.3">
      <c r="B597" s="343" t="s">
        <v>1058</v>
      </c>
      <c r="C597" s="239"/>
      <c r="D597" s="228"/>
      <c r="E597" s="228"/>
      <c r="F597" s="228"/>
      <c r="G597" s="228"/>
      <c r="H597" s="235"/>
      <c r="I597" s="236"/>
      <c r="J597" s="344"/>
    </row>
    <row r="598" spans="2:10" ht="16.5" thickBot="1" x14ac:dyDescent="0.3">
      <c r="B598" s="318" t="s">
        <v>43</v>
      </c>
      <c r="C598" s="410" t="s">
        <v>2</v>
      </c>
      <c r="D598" s="411"/>
      <c r="E598" s="412"/>
      <c r="F598" s="319"/>
      <c r="G598" s="320" t="s">
        <v>105</v>
      </c>
      <c r="H598" s="320" t="s">
        <v>106</v>
      </c>
      <c r="I598" s="320" t="s">
        <v>1059</v>
      </c>
      <c r="J598" s="321" t="s">
        <v>1060</v>
      </c>
    </row>
    <row r="599" spans="2:10" ht="15" x14ac:dyDescent="0.25">
      <c r="B599" s="257" t="s">
        <v>113</v>
      </c>
      <c r="C599" s="413" t="s">
        <v>114</v>
      </c>
      <c r="D599" s="414"/>
      <c r="E599" s="414"/>
      <c r="F599" s="415"/>
      <c r="G599" s="251" t="s">
        <v>1073</v>
      </c>
      <c r="H599" s="252">
        <f>+J621</f>
        <v>16728.741328161621</v>
      </c>
      <c r="I599" s="314">
        <v>0.05</v>
      </c>
      <c r="J599" s="345">
        <v>365.85710977962196</v>
      </c>
    </row>
    <row r="600" spans="2:10" ht="15" x14ac:dyDescent="0.25">
      <c r="B600" s="262" t="s">
        <v>169</v>
      </c>
      <c r="C600" s="416" t="str">
        <f>VLOOKUP(B600,INSUMOS!$K$4:$N$135,2,FALSE)</f>
        <v xml:space="preserve">Andamio certificado x modulo </v>
      </c>
      <c r="D600" s="417"/>
      <c r="E600" s="417"/>
      <c r="F600" s="418"/>
      <c r="G600" s="251" t="str">
        <f>VLOOKUP(B600,INSUMOS!$K$4:$N$135,3,FALSE)</f>
        <v>DIA</v>
      </c>
      <c r="H600" s="252">
        <f>VLOOKUP(B600,INSUMOS!$K$4:$N$135,4,FALSE)</f>
        <v>12000</v>
      </c>
      <c r="I600" s="322">
        <f>+I621/8</f>
        <v>3.2783240149761556E-2</v>
      </c>
      <c r="J600" s="323">
        <f>+H600*I600</f>
        <v>393.39888179713864</v>
      </c>
    </row>
    <row r="601" spans="2:10" ht="15" x14ac:dyDescent="0.25">
      <c r="B601" s="262"/>
      <c r="C601" s="398"/>
      <c r="D601" s="399"/>
      <c r="E601" s="399"/>
      <c r="F601" s="400"/>
      <c r="G601" s="263"/>
      <c r="H601" s="264"/>
      <c r="I601" s="260"/>
      <c r="J601" s="261"/>
    </row>
    <row r="602" spans="2:10" ht="15" x14ac:dyDescent="0.25">
      <c r="B602" s="262"/>
      <c r="C602" s="11"/>
      <c r="D602" s="10"/>
      <c r="E602" s="10"/>
      <c r="F602" s="9"/>
      <c r="G602" s="263"/>
      <c r="H602" s="264"/>
      <c r="I602" s="265"/>
      <c r="J602" s="261"/>
    </row>
    <row r="603" spans="2:10" ht="16.5" thickBot="1" x14ac:dyDescent="0.3">
      <c r="B603" s="266"/>
      <c r="C603" s="228"/>
      <c r="D603" s="267"/>
      <c r="E603" s="267"/>
      <c r="F603" s="267"/>
      <c r="G603" s="268"/>
      <c r="H603" s="269"/>
      <c r="I603" s="270" t="s">
        <v>1061</v>
      </c>
      <c r="J603" s="271">
        <f>ROUND((SUM(J599:J602)),2)</f>
        <v>759.26</v>
      </c>
    </row>
    <row r="604" spans="2:10" ht="16.5" thickBot="1" x14ac:dyDescent="0.3">
      <c r="B604" s="272" t="s">
        <v>1062</v>
      </c>
      <c r="C604" s="273"/>
      <c r="D604" s="274"/>
      <c r="E604" s="274"/>
      <c r="F604" s="274"/>
      <c r="G604" s="274"/>
      <c r="H604" s="275"/>
      <c r="I604" s="276"/>
      <c r="J604" s="277"/>
    </row>
    <row r="605" spans="2:10" ht="16.5" thickBot="1" x14ac:dyDescent="0.3">
      <c r="B605" s="346" t="s">
        <v>43</v>
      </c>
      <c r="C605" s="401" t="s">
        <v>44</v>
      </c>
      <c r="D605" s="402"/>
      <c r="E605" s="403"/>
      <c r="F605" s="279"/>
      <c r="G605" s="280" t="s">
        <v>45</v>
      </c>
      <c r="H605" s="280" t="s">
        <v>109</v>
      </c>
      <c r="I605" s="280" t="s">
        <v>4</v>
      </c>
      <c r="J605" s="347" t="s">
        <v>1060</v>
      </c>
    </row>
    <row r="606" spans="2:10" ht="16.5" thickBot="1" x14ac:dyDescent="0.3">
      <c r="B606" s="257" t="s">
        <v>458</v>
      </c>
      <c r="C606" s="5" t="str">
        <f>VLOOKUP(B606,INSUMOS!$B$3:$E$310,2,FALSE)</f>
        <v xml:space="preserve">Ladrillo prensado liviano 24,5X12X6cm </v>
      </c>
      <c r="D606" s="4"/>
      <c r="E606" s="4"/>
      <c r="F606" s="3"/>
      <c r="G606" s="258" t="str">
        <f>VLOOKUP(B606,INSUMOS!$B$3:$E$310,3,FALSE)</f>
        <v>UND</v>
      </c>
      <c r="H606" s="259">
        <f>VLOOKUP(B606,INSUMOS!$B$3:$E$310,4,FALSE)</f>
        <v>1200</v>
      </c>
      <c r="I606" s="260">
        <v>33</v>
      </c>
      <c r="J606" s="348">
        <f>I606*H606</f>
        <v>39600</v>
      </c>
    </row>
    <row r="607" spans="2:10" ht="15.75" x14ac:dyDescent="0.25">
      <c r="B607" s="257"/>
      <c r="C607" s="5" t="s">
        <v>1085</v>
      </c>
      <c r="D607" s="4"/>
      <c r="E607" s="4"/>
      <c r="F607" s="3"/>
      <c r="G607" s="258" t="s">
        <v>1086</v>
      </c>
      <c r="H607" s="259">
        <v>650000</v>
      </c>
      <c r="I607" s="260">
        <v>7.0000000000000007E-2</v>
      </c>
      <c r="J607" s="348">
        <f>I607*H607</f>
        <v>45500.000000000007</v>
      </c>
    </row>
    <row r="608" spans="2:10" ht="15" x14ac:dyDescent="0.25">
      <c r="B608" s="262"/>
      <c r="C608" s="11"/>
      <c r="D608" s="10"/>
      <c r="E608" s="10"/>
      <c r="F608" s="9"/>
      <c r="G608" s="263"/>
      <c r="H608" s="264"/>
      <c r="I608" s="265"/>
      <c r="J608" s="324"/>
    </row>
    <row r="609" spans="2:10" ht="15" x14ac:dyDescent="0.25">
      <c r="B609" s="262"/>
      <c r="C609" s="11"/>
      <c r="D609" s="10"/>
      <c r="E609" s="10"/>
      <c r="F609" s="9"/>
      <c r="G609" s="263"/>
      <c r="H609" s="264"/>
      <c r="I609" s="265"/>
      <c r="J609" s="324"/>
    </row>
    <row r="610" spans="2:10" ht="16.5" thickBot="1" x14ac:dyDescent="0.3">
      <c r="B610" s="266"/>
      <c r="C610" s="228"/>
      <c r="D610" s="228"/>
      <c r="E610" s="228"/>
      <c r="F610" s="228"/>
      <c r="G610" s="286"/>
      <c r="H610" s="287"/>
      <c r="I610" s="270" t="s">
        <v>1061</v>
      </c>
      <c r="J610" s="271">
        <f>+SUM(J606:J609)</f>
        <v>85100</v>
      </c>
    </row>
    <row r="611" spans="2:10" ht="16.5" thickBot="1" x14ac:dyDescent="0.3">
      <c r="B611" s="349" t="s">
        <v>1068</v>
      </c>
      <c r="C611" s="290"/>
      <c r="D611" s="228"/>
      <c r="E611" s="228"/>
      <c r="F611" s="228"/>
      <c r="G611" s="228"/>
      <c r="H611" s="235"/>
      <c r="I611" s="291"/>
      <c r="J611" s="344"/>
    </row>
    <row r="612" spans="2:10" ht="16.5" thickBot="1" x14ac:dyDescent="0.3">
      <c r="B612" s="350" t="s">
        <v>43</v>
      </c>
      <c r="C612" s="8" t="s">
        <v>44</v>
      </c>
      <c r="D612" s="7"/>
      <c r="E612" s="6"/>
      <c r="F612" s="293"/>
      <c r="G612" s="331" t="s">
        <v>107</v>
      </c>
      <c r="H612" s="294" t="s">
        <v>108</v>
      </c>
      <c r="I612" s="294" t="s">
        <v>1069</v>
      </c>
      <c r="J612" s="351" t="s">
        <v>1060</v>
      </c>
    </row>
    <row r="613" spans="2:10" ht="15" x14ac:dyDescent="0.25">
      <c r="B613" s="257" t="s">
        <v>115</v>
      </c>
      <c r="C613" s="395" t="str">
        <f>VLOOKUP(B613,INSUMOS!$Q$4:$V$11,2,FALSE)</f>
        <v>Volqueta sencilla (6 M3)</v>
      </c>
      <c r="D613" s="396"/>
      <c r="E613" s="396"/>
      <c r="F613" s="397"/>
      <c r="G613" s="258" t="str">
        <f>VLOOKUP(B613,INSUMOS!$Q$4:$V$11,5,FALSE)</f>
        <v xml:space="preserve">6 M3 VJ </v>
      </c>
      <c r="H613" s="259">
        <f>VLOOKUP(B613,INSUMOS!$Q$4:$V$11,6,FALSE)</f>
        <v>120000</v>
      </c>
      <c r="I613" s="260">
        <v>0.1</v>
      </c>
      <c r="J613" s="324">
        <f>+H613*I613</f>
        <v>12000</v>
      </c>
    </row>
    <row r="614" spans="2:10" ht="15" x14ac:dyDescent="0.25">
      <c r="B614" s="257"/>
      <c r="C614" s="11"/>
      <c r="D614" s="10"/>
      <c r="E614" s="10"/>
      <c r="F614" s="9"/>
      <c r="G614" s="258"/>
      <c r="H614" s="259"/>
      <c r="I614" s="260"/>
      <c r="J614" s="324"/>
    </row>
    <row r="615" spans="2:10" ht="15" x14ac:dyDescent="0.25">
      <c r="B615" s="257"/>
      <c r="C615" s="11"/>
      <c r="D615" s="10"/>
      <c r="E615" s="10"/>
      <c r="F615" s="9"/>
      <c r="G615" s="258"/>
      <c r="H615" s="259"/>
      <c r="I615" s="260"/>
      <c r="J615" s="324">
        <f>+G615*I615</f>
        <v>0</v>
      </c>
    </row>
    <row r="616" spans="2:10" ht="15" x14ac:dyDescent="0.25">
      <c r="B616" s="257"/>
      <c r="C616" s="11"/>
      <c r="D616" s="10"/>
      <c r="E616" s="10"/>
      <c r="F616" s="9"/>
      <c r="G616" s="258"/>
      <c r="H616" s="259"/>
      <c r="I616" s="260"/>
      <c r="J616" s="324">
        <f>+G616*I616</f>
        <v>0</v>
      </c>
    </row>
    <row r="617" spans="2:10" ht="15" x14ac:dyDescent="0.25">
      <c r="B617" s="262"/>
      <c r="C617" s="11"/>
      <c r="D617" s="10"/>
      <c r="E617" s="10"/>
      <c r="F617" s="9"/>
      <c r="G617" s="263"/>
      <c r="H617" s="264"/>
      <c r="I617" s="265"/>
      <c r="J617" s="261">
        <f>+G617*I617</f>
        <v>0</v>
      </c>
    </row>
    <row r="618" spans="2:10" ht="16.5" thickBot="1" x14ac:dyDescent="0.3">
      <c r="B618" s="266"/>
      <c r="C618" s="228"/>
      <c r="D618" s="228"/>
      <c r="E618" s="228"/>
      <c r="F618" s="228"/>
      <c r="G618" s="228"/>
      <c r="H618" s="235"/>
      <c r="I618" s="298" t="s">
        <v>1061</v>
      </c>
      <c r="J618" s="271">
        <f>ROUND((SUM(J613:J617)),2)</f>
        <v>12000</v>
      </c>
    </row>
    <row r="619" spans="2:10" ht="16.5" thickBot="1" x14ac:dyDescent="0.3">
      <c r="B619" s="349" t="s">
        <v>1070</v>
      </c>
      <c r="C619" s="290"/>
      <c r="D619" s="228"/>
      <c r="E619" s="228"/>
      <c r="F619" s="228"/>
      <c r="G619" s="228"/>
      <c r="H619" s="235"/>
      <c r="I619" s="291"/>
      <c r="J619" s="344"/>
    </row>
    <row r="620" spans="2:10" ht="16.5" thickBot="1" x14ac:dyDescent="0.3">
      <c r="B620" s="350" t="s">
        <v>43</v>
      </c>
      <c r="C620" s="8" t="s">
        <v>44</v>
      </c>
      <c r="D620" s="7"/>
      <c r="E620" s="6"/>
      <c r="F620" s="293"/>
      <c r="G620" s="294" t="s">
        <v>45</v>
      </c>
      <c r="H620" s="294" t="s">
        <v>109</v>
      </c>
      <c r="I620" s="294" t="s">
        <v>1059</v>
      </c>
      <c r="J620" s="351" t="s">
        <v>1060</v>
      </c>
    </row>
    <row r="621" spans="2:10" ht="15" x14ac:dyDescent="0.25">
      <c r="B621" s="257" t="s">
        <v>71</v>
      </c>
      <c r="C621" s="5" t="str">
        <f>VLOOKUP(B621,CUADRILLAS!$B$4:$G$19,2,)</f>
        <v>CUADRILLA I (Oficial + ayudante)</v>
      </c>
      <c r="D621" s="4"/>
      <c r="E621" s="4"/>
      <c r="F621" s="3"/>
      <c r="G621" s="259" t="str">
        <f>VLOOKUP(B621,CUADRILLAS!$B$4:$G$19,5,FALSE)</f>
        <v>H</v>
      </c>
      <c r="H621" s="296">
        <f>VLOOKUP(B621,CUADRILLAS!$B$4:$G$19,6,FALSE)</f>
        <v>63785.417685</v>
      </c>
      <c r="I621" s="260">
        <v>0.26226592119809244</v>
      </c>
      <c r="J621" s="352">
        <f>H621*I621</f>
        <v>16728.741328161621</v>
      </c>
    </row>
    <row r="622" spans="2:10" ht="15" x14ac:dyDescent="0.25">
      <c r="B622" s="262"/>
      <c r="C622" s="2"/>
      <c r="D622" s="1"/>
      <c r="E622" s="1"/>
      <c r="F622" s="15"/>
      <c r="G622" s="263"/>
      <c r="H622" s="264"/>
      <c r="I622" s="265"/>
      <c r="J622" s="261"/>
    </row>
    <row r="623" spans="2:10" ht="15" x14ac:dyDescent="0.25">
      <c r="B623" s="262"/>
      <c r="C623" s="299"/>
      <c r="D623" s="300"/>
      <c r="E623" s="300"/>
      <c r="F623" s="301"/>
      <c r="G623" s="263"/>
      <c r="H623" s="264"/>
      <c r="I623" s="265"/>
      <c r="J623" s="261"/>
    </row>
    <row r="624" spans="2:10" ht="15" x14ac:dyDescent="0.25">
      <c r="B624" s="262"/>
      <c r="C624" s="299"/>
      <c r="D624" s="300"/>
      <c r="E624" s="300"/>
      <c r="F624" s="301"/>
      <c r="G624" s="263"/>
      <c r="H624" s="264"/>
      <c r="I624" s="265"/>
      <c r="J624" s="261"/>
    </row>
    <row r="625" spans="2:12" ht="15" x14ac:dyDescent="0.25">
      <c r="B625" s="262"/>
      <c r="C625" s="299"/>
      <c r="D625" s="300"/>
      <c r="E625" s="300"/>
      <c r="F625" s="301"/>
      <c r="G625" s="263"/>
      <c r="H625" s="264"/>
      <c r="I625" s="265"/>
      <c r="J625" s="261">
        <f>+H625*I625</f>
        <v>0</v>
      </c>
    </row>
    <row r="626" spans="2:12" ht="15.75" x14ac:dyDescent="0.25">
      <c r="B626" s="266"/>
      <c r="C626" s="228"/>
      <c r="D626" s="228"/>
      <c r="E626" s="228"/>
      <c r="F626" s="228"/>
      <c r="G626" s="286"/>
      <c r="H626" s="235"/>
      <c r="I626" s="302" t="s">
        <v>1061</v>
      </c>
      <c r="J626" s="353">
        <f>SUM(J621:J625)</f>
        <v>16728.741328161621</v>
      </c>
    </row>
    <row r="627" spans="2:12" ht="15.75" thickBot="1" x14ac:dyDescent="0.3">
      <c r="B627" s="266"/>
      <c r="C627" s="228"/>
      <c r="D627" s="228"/>
      <c r="E627" s="228"/>
      <c r="F627" s="228"/>
      <c r="G627" s="286"/>
      <c r="H627" s="235"/>
      <c r="I627" s="236"/>
      <c r="J627" s="344"/>
    </row>
    <row r="628" spans="2:12" ht="16.5" thickBot="1" x14ac:dyDescent="0.3">
      <c r="B628" s="266"/>
      <c r="C628" s="228"/>
      <c r="D628" s="228"/>
      <c r="E628" s="228"/>
      <c r="F628" s="228"/>
      <c r="G628" s="14" t="s">
        <v>1071</v>
      </c>
      <c r="H628" s="13"/>
      <c r="I628" s="12"/>
      <c r="J628" s="354">
        <f>ROUND((SUM(J626+J618+J610+J603)),2)</f>
        <v>114588</v>
      </c>
      <c r="L628" s="95">
        <v>114588</v>
      </c>
    </row>
    <row r="629" spans="2:12" ht="16.5" thickBot="1" x14ac:dyDescent="0.3">
      <c r="B629" s="266"/>
      <c r="C629" s="228"/>
      <c r="D629" s="228"/>
      <c r="E629" s="228"/>
      <c r="F629" s="228"/>
      <c r="G629" s="394"/>
      <c r="H629" s="394"/>
      <c r="I629" s="305"/>
      <c r="J629" s="354"/>
    </row>
    <row r="630" spans="2:12" ht="16.5" thickBot="1" x14ac:dyDescent="0.3">
      <c r="B630" s="266"/>
      <c r="C630" s="228"/>
      <c r="D630" s="228"/>
      <c r="E630" s="228"/>
      <c r="F630" s="228"/>
      <c r="G630" s="14" t="s">
        <v>1072</v>
      </c>
      <c r="H630" s="13"/>
      <c r="I630" s="12"/>
      <c r="J630" s="355">
        <f>+J628+J629</f>
        <v>114588</v>
      </c>
    </row>
    <row r="631" spans="2:12" ht="14.25" thickBot="1" x14ac:dyDescent="0.3">
      <c r="B631" s="356"/>
      <c r="C631" s="357"/>
      <c r="D631" s="357"/>
      <c r="E631" s="357"/>
      <c r="F631" s="357"/>
      <c r="G631" s="357"/>
      <c r="H631" s="357"/>
      <c r="I631" s="357"/>
      <c r="J631" s="358"/>
    </row>
    <row r="632" spans="2:12" ht="14.25" thickBot="1" x14ac:dyDescent="0.3"/>
    <row r="633" spans="2:12" x14ac:dyDescent="0.25">
      <c r="B633" s="419"/>
      <c r="C633" s="420"/>
      <c r="D633" s="423" t="s">
        <v>1052</v>
      </c>
      <c r="E633" s="424"/>
      <c r="F633" s="424"/>
      <c r="G633" s="424"/>
      <c r="H633" s="425"/>
      <c r="I633" s="429"/>
      <c r="J633" s="430"/>
    </row>
    <row r="634" spans="2:12" ht="14.25" thickBot="1" x14ac:dyDescent="0.3">
      <c r="B634" s="421"/>
      <c r="C634" s="422"/>
      <c r="D634" s="426"/>
      <c r="E634" s="427"/>
      <c r="F634" s="427"/>
      <c r="G634" s="427"/>
      <c r="H634" s="428"/>
      <c r="I634" s="431"/>
      <c r="J634" s="432"/>
    </row>
    <row r="635" spans="2:12" ht="16.5" thickBot="1" x14ac:dyDescent="0.3">
      <c r="B635" s="337"/>
      <c r="C635" s="219"/>
      <c r="D635" s="219"/>
      <c r="E635" s="219"/>
      <c r="F635" s="219"/>
      <c r="G635" s="219"/>
      <c r="H635" s="219"/>
      <c r="I635" s="219"/>
      <c r="J635" s="338"/>
    </row>
    <row r="636" spans="2:12" ht="16.5" thickBot="1" x14ac:dyDescent="0.3">
      <c r="B636" s="433" t="s">
        <v>1053</v>
      </c>
      <c r="C636" s="434"/>
      <c r="D636" s="222"/>
      <c r="E636" s="223" t="s">
        <v>171</v>
      </c>
      <c r="F636" s="222">
        <v>30</v>
      </c>
      <c r="G636" s="222" t="s">
        <v>462</v>
      </c>
      <c r="H636" s="223">
        <v>4</v>
      </c>
      <c r="I636" s="224" t="s">
        <v>1054</v>
      </c>
      <c r="J636" s="225">
        <v>2026</v>
      </c>
    </row>
    <row r="637" spans="2:12" ht="15.75" thickBot="1" x14ac:dyDescent="0.3">
      <c r="B637" s="266"/>
      <c r="C637" s="228"/>
      <c r="D637" s="228"/>
      <c r="E637" s="228"/>
      <c r="F637" s="228"/>
      <c r="G637" s="228"/>
      <c r="H637" s="228"/>
      <c r="I637" s="228"/>
      <c r="J637" s="339"/>
    </row>
    <row r="638" spans="2:12" x14ac:dyDescent="0.25">
      <c r="B638" s="435" t="s">
        <v>1055</v>
      </c>
      <c r="C638" s="436"/>
      <c r="D638" s="441" t="s">
        <v>1110</v>
      </c>
      <c r="E638" s="442"/>
      <c r="F638" s="442"/>
      <c r="G638" s="442"/>
      <c r="H638" s="442"/>
      <c r="I638" s="442"/>
      <c r="J638" s="443"/>
    </row>
    <row r="639" spans="2:12" x14ac:dyDescent="0.25">
      <c r="B639" s="437"/>
      <c r="C639" s="438"/>
      <c r="D639" s="444"/>
      <c r="E639" s="445"/>
      <c r="F639" s="445"/>
      <c r="G639" s="445"/>
      <c r="H639" s="445"/>
      <c r="I639" s="445"/>
      <c r="J639" s="446"/>
    </row>
    <row r="640" spans="2:12" ht="14.25" thickBot="1" x14ac:dyDescent="0.3">
      <c r="B640" s="439"/>
      <c r="C640" s="440"/>
      <c r="D640" s="447"/>
      <c r="E640" s="448"/>
      <c r="F640" s="448"/>
      <c r="G640" s="448"/>
      <c r="H640" s="448"/>
      <c r="I640" s="448"/>
      <c r="J640" s="449"/>
    </row>
    <row r="641" spans="2:10" ht="16.5" thickBot="1" x14ac:dyDescent="0.3">
      <c r="B641" s="404"/>
      <c r="C641" s="405"/>
      <c r="D641" s="405"/>
      <c r="E641" s="405"/>
      <c r="F641" s="405"/>
      <c r="G641" s="405"/>
      <c r="H641" s="405"/>
      <c r="I641" s="405"/>
      <c r="J641" s="406"/>
    </row>
    <row r="642" spans="2:10" ht="39" customHeight="1" thickBot="1" x14ac:dyDescent="0.3">
      <c r="B642" s="340" t="s">
        <v>1056</v>
      </c>
      <c r="C642" s="232">
        <v>3.9</v>
      </c>
      <c r="D642" s="407" t="str">
        <f>'ppto oficial '!B21</f>
        <v>Escarificación y preparación de superficie para elementos estructurales, incluye sellado de fisuras (vigas de corona, columnas, placa de entrepieso).</v>
      </c>
      <c r="E642" s="408"/>
      <c r="F642" s="408"/>
      <c r="G642" s="408"/>
      <c r="H642" s="409"/>
      <c r="I642" s="232" t="s">
        <v>1057</v>
      </c>
      <c r="J642" s="341" t="str">
        <f>VLOOKUP(C642,'ppto oficial '!$A$5:$D$30,3,FALSE)</f>
        <v>m2</v>
      </c>
    </row>
    <row r="643" spans="2:10" ht="15.75" thickBot="1" x14ac:dyDescent="0.3">
      <c r="B643" s="266"/>
      <c r="C643" s="228"/>
      <c r="D643" s="228"/>
      <c r="E643" s="228"/>
      <c r="F643" s="228"/>
      <c r="G643" s="228"/>
      <c r="H643" s="235"/>
      <c r="I643" s="236"/>
      <c r="J643" s="342"/>
    </row>
    <row r="644" spans="2:10" ht="16.5" thickBot="1" x14ac:dyDescent="0.3">
      <c r="B644" s="343" t="s">
        <v>1058</v>
      </c>
      <c r="C644" s="239"/>
      <c r="D644" s="228"/>
      <c r="E644" s="228"/>
      <c r="F644" s="228"/>
      <c r="G644" s="228"/>
      <c r="H644" s="235"/>
      <c r="I644" s="236"/>
      <c r="J644" s="344"/>
    </row>
    <row r="645" spans="2:10" ht="16.5" thickBot="1" x14ac:dyDescent="0.3">
      <c r="B645" s="318" t="s">
        <v>43</v>
      </c>
      <c r="C645" s="410" t="s">
        <v>2</v>
      </c>
      <c r="D645" s="411"/>
      <c r="E645" s="412"/>
      <c r="F645" s="319"/>
      <c r="G645" s="320" t="s">
        <v>105</v>
      </c>
      <c r="H645" s="320" t="s">
        <v>106</v>
      </c>
      <c r="I645" s="320" t="s">
        <v>1059</v>
      </c>
      <c r="J645" s="321" t="s">
        <v>1060</v>
      </c>
    </row>
    <row r="646" spans="2:10" ht="15" x14ac:dyDescent="0.25">
      <c r="B646" s="257" t="s">
        <v>113</v>
      </c>
      <c r="C646" s="413" t="s">
        <v>114</v>
      </c>
      <c r="D646" s="414"/>
      <c r="E646" s="414"/>
      <c r="F646" s="415"/>
      <c r="G646" s="251" t="s">
        <v>1073</v>
      </c>
      <c r="H646" s="252">
        <f>+J668</f>
        <v>51629.607481302475</v>
      </c>
      <c r="I646" s="314">
        <v>0.12</v>
      </c>
      <c r="J646" s="345">
        <f>H646*I646</f>
        <v>6195.5528977562972</v>
      </c>
    </row>
    <row r="647" spans="2:10" ht="15" x14ac:dyDescent="0.25">
      <c r="B647" s="262" t="s">
        <v>169</v>
      </c>
      <c r="C647" s="416" t="str">
        <f>VLOOKUP(B647,INSUMOS!$K$4:$N$135,2,FALSE)</f>
        <v xml:space="preserve">Andamio certificado x modulo </v>
      </c>
      <c r="D647" s="417"/>
      <c r="E647" s="417"/>
      <c r="F647" s="418"/>
      <c r="G647" s="251" t="str">
        <f>VLOOKUP(B647,INSUMOS!$K$4:$N$135,3,FALSE)</f>
        <v>DIA</v>
      </c>
      <c r="H647" s="252">
        <f>VLOOKUP(B647,INSUMOS!$K$4:$N$135,4,FALSE)</f>
        <v>12000</v>
      </c>
      <c r="I647" s="322">
        <v>0.2</v>
      </c>
      <c r="J647" s="323">
        <f>+H647*I647</f>
        <v>2400</v>
      </c>
    </row>
    <row r="648" spans="2:10" ht="15" x14ac:dyDescent="0.25">
      <c r="B648" s="262"/>
      <c r="C648" s="398"/>
      <c r="D648" s="399"/>
      <c r="E648" s="399"/>
      <c r="F648" s="400"/>
      <c r="G648" s="263"/>
      <c r="H648" s="264"/>
      <c r="I648" s="260"/>
      <c r="J648" s="261"/>
    </row>
    <row r="649" spans="2:10" ht="15" x14ac:dyDescent="0.25">
      <c r="B649" s="262"/>
      <c r="C649" s="11"/>
      <c r="D649" s="10"/>
      <c r="E649" s="10"/>
      <c r="F649" s="9"/>
      <c r="G649" s="263"/>
      <c r="H649" s="264"/>
      <c r="I649" s="265"/>
      <c r="J649" s="261"/>
    </row>
    <row r="650" spans="2:10" ht="16.5" thickBot="1" x14ac:dyDescent="0.3">
      <c r="B650" s="266"/>
      <c r="C650" s="228"/>
      <c r="D650" s="267"/>
      <c r="E650" s="267"/>
      <c r="F650" s="267"/>
      <c r="G650" s="268"/>
      <c r="H650" s="269"/>
      <c r="I650" s="270" t="s">
        <v>1061</v>
      </c>
      <c r="J650" s="271">
        <f>ROUND((SUM(J646:J649)),2)</f>
        <v>8595.5499999999993</v>
      </c>
    </row>
    <row r="651" spans="2:10" ht="16.5" thickBot="1" x14ac:dyDescent="0.3">
      <c r="B651" s="272" t="s">
        <v>1062</v>
      </c>
      <c r="C651" s="273"/>
      <c r="D651" s="274"/>
      <c r="E651" s="274"/>
      <c r="F651" s="274"/>
      <c r="G651" s="274"/>
      <c r="H651" s="275"/>
      <c r="I651" s="276"/>
      <c r="J651" s="277"/>
    </row>
    <row r="652" spans="2:10" ht="16.5" thickBot="1" x14ac:dyDescent="0.3">
      <c r="B652" s="346" t="s">
        <v>43</v>
      </c>
      <c r="C652" s="401" t="s">
        <v>44</v>
      </c>
      <c r="D652" s="402"/>
      <c r="E652" s="403"/>
      <c r="F652" s="279"/>
      <c r="G652" s="280" t="s">
        <v>45</v>
      </c>
      <c r="H652" s="280" t="s">
        <v>109</v>
      </c>
      <c r="I652" s="280" t="s">
        <v>4</v>
      </c>
      <c r="J652" s="347" t="s">
        <v>1060</v>
      </c>
    </row>
    <row r="653" spans="2:10" ht="15.75" x14ac:dyDescent="0.25">
      <c r="B653" s="257" t="s">
        <v>463</v>
      </c>
      <c r="C653" s="5" t="str">
        <f>VLOOKUP(B653,INSUMOS!$B$3:$E$310,2,FALSE)</f>
        <v>Grout para reparacion</v>
      </c>
      <c r="D653" s="4"/>
      <c r="E653" s="4"/>
      <c r="F653" s="3"/>
      <c r="G653" s="258" t="str">
        <f>VLOOKUP(B653,INSUMOS!$B$3:$E$310,3,FALSE)</f>
        <v>KG</v>
      </c>
      <c r="H653" s="259">
        <f>VLOOKUP(B653,INSUMOS!$B$3:$E$310,4,FALSE)</f>
        <v>1384.7368421052631</v>
      </c>
      <c r="I653" s="260">
        <v>2.5</v>
      </c>
      <c r="J653" s="348">
        <f>I653*H653</f>
        <v>3461.8421052631579</v>
      </c>
    </row>
    <row r="654" spans="2:10" ht="15" x14ac:dyDescent="0.25">
      <c r="B654" s="262"/>
      <c r="C654" s="11"/>
      <c r="D654" s="10"/>
      <c r="E654" s="10"/>
      <c r="F654" s="9"/>
      <c r="G654" s="263"/>
      <c r="H654" s="264"/>
      <c r="I654" s="265"/>
      <c r="J654" s="324"/>
    </row>
    <row r="655" spans="2:10" ht="15" x14ac:dyDescent="0.25">
      <c r="B655" s="262"/>
      <c r="C655" s="11"/>
      <c r="D655" s="10"/>
      <c r="E655" s="10"/>
      <c r="F655" s="9"/>
      <c r="G655" s="263"/>
      <c r="H655" s="264"/>
      <c r="I655" s="265"/>
      <c r="J655" s="324"/>
    </row>
    <row r="656" spans="2:10" ht="15" x14ac:dyDescent="0.25">
      <c r="B656" s="262"/>
      <c r="C656" s="11"/>
      <c r="D656" s="10"/>
      <c r="E656" s="10"/>
      <c r="F656" s="9"/>
      <c r="G656" s="263"/>
      <c r="H656" s="264"/>
      <c r="I656" s="265"/>
      <c r="J656" s="324"/>
    </row>
    <row r="657" spans="2:10" ht="16.5" thickBot="1" x14ac:dyDescent="0.3">
      <c r="B657" s="266"/>
      <c r="C657" s="228"/>
      <c r="D657" s="228"/>
      <c r="E657" s="228"/>
      <c r="F657" s="228"/>
      <c r="G657" s="286"/>
      <c r="H657" s="287"/>
      <c r="I657" s="270" t="s">
        <v>1061</v>
      </c>
      <c r="J657" s="271">
        <f>+SUM(J653:J656)</f>
        <v>3461.8421052631579</v>
      </c>
    </row>
    <row r="658" spans="2:10" ht="16.5" thickBot="1" x14ac:dyDescent="0.3">
      <c r="B658" s="349" t="s">
        <v>1068</v>
      </c>
      <c r="C658" s="290"/>
      <c r="D658" s="228"/>
      <c r="E658" s="228"/>
      <c r="F658" s="228"/>
      <c r="G658" s="228"/>
      <c r="H658" s="235"/>
      <c r="I658" s="291"/>
      <c r="J658" s="344"/>
    </row>
    <row r="659" spans="2:10" ht="16.5" thickBot="1" x14ac:dyDescent="0.3">
      <c r="B659" s="350" t="s">
        <v>43</v>
      </c>
      <c r="C659" s="8" t="s">
        <v>44</v>
      </c>
      <c r="D659" s="7"/>
      <c r="E659" s="6"/>
      <c r="F659" s="293"/>
      <c r="G659" s="331" t="s">
        <v>107</v>
      </c>
      <c r="H659" s="294" t="s">
        <v>108</v>
      </c>
      <c r="I659" s="294" t="s">
        <v>1069</v>
      </c>
      <c r="J659" s="351" t="s">
        <v>1060</v>
      </c>
    </row>
    <row r="660" spans="2:10" ht="15" x14ac:dyDescent="0.25">
      <c r="B660" s="257" t="s">
        <v>115</v>
      </c>
      <c r="C660" s="395" t="str">
        <f>VLOOKUP(B660,INSUMOS!$Q$4:$V$11,2,FALSE)</f>
        <v>Volqueta sencilla (6 M3)</v>
      </c>
      <c r="D660" s="396"/>
      <c r="E660" s="396"/>
      <c r="F660" s="397"/>
      <c r="G660" s="258" t="str">
        <f>VLOOKUP(B660,INSUMOS!$Q$4:$V$11,5,FALSE)</f>
        <v xml:space="preserve">6 M3 VJ </v>
      </c>
      <c r="H660" s="259">
        <f>VLOOKUP(B660,INSUMOS!$Q$4:$V$11,6,FALSE)</f>
        <v>120000</v>
      </c>
      <c r="I660" s="260">
        <v>0.05</v>
      </c>
      <c r="J660" s="324">
        <f>+H660*I660</f>
        <v>6000</v>
      </c>
    </row>
    <row r="661" spans="2:10" ht="15" x14ac:dyDescent="0.25">
      <c r="B661" s="257"/>
      <c r="C661" s="11"/>
      <c r="D661" s="10"/>
      <c r="E661" s="10"/>
      <c r="F661" s="9"/>
      <c r="G661" s="258"/>
      <c r="H661" s="259"/>
      <c r="I661" s="260"/>
      <c r="J661" s="324"/>
    </row>
    <row r="662" spans="2:10" ht="15" x14ac:dyDescent="0.25">
      <c r="B662" s="257"/>
      <c r="C662" s="11"/>
      <c r="D662" s="10"/>
      <c r="E662" s="10"/>
      <c r="F662" s="9"/>
      <c r="G662" s="258"/>
      <c r="H662" s="259"/>
      <c r="I662" s="260"/>
      <c r="J662" s="324">
        <f>+G662*I662</f>
        <v>0</v>
      </c>
    </row>
    <row r="663" spans="2:10" ht="15" x14ac:dyDescent="0.25">
      <c r="B663" s="257"/>
      <c r="C663" s="11"/>
      <c r="D663" s="10"/>
      <c r="E663" s="10"/>
      <c r="F663" s="9"/>
      <c r="G663" s="258"/>
      <c r="H663" s="259"/>
      <c r="I663" s="260"/>
      <c r="J663" s="324">
        <f>+G663*I663</f>
        <v>0</v>
      </c>
    </row>
    <row r="664" spans="2:10" ht="15" x14ac:dyDescent="0.25">
      <c r="B664" s="262"/>
      <c r="C664" s="11"/>
      <c r="D664" s="10"/>
      <c r="E664" s="10"/>
      <c r="F664" s="9"/>
      <c r="G664" s="263"/>
      <c r="H664" s="264"/>
      <c r="I664" s="265"/>
      <c r="J664" s="261">
        <f>+G664*I664</f>
        <v>0</v>
      </c>
    </row>
    <row r="665" spans="2:10" ht="16.5" thickBot="1" x14ac:dyDescent="0.3">
      <c r="B665" s="266"/>
      <c r="C665" s="228"/>
      <c r="D665" s="228"/>
      <c r="E665" s="228"/>
      <c r="F665" s="228"/>
      <c r="G665" s="228"/>
      <c r="H665" s="235"/>
      <c r="I665" s="298" t="s">
        <v>1061</v>
      </c>
      <c r="J665" s="271">
        <f>ROUND((SUM(J660:J664)),2)</f>
        <v>6000</v>
      </c>
    </row>
    <row r="666" spans="2:10" ht="16.5" thickBot="1" x14ac:dyDescent="0.3">
      <c r="B666" s="349" t="s">
        <v>1070</v>
      </c>
      <c r="C666" s="290"/>
      <c r="D666" s="228"/>
      <c r="E666" s="228"/>
      <c r="F666" s="228"/>
      <c r="G666" s="228"/>
      <c r="H666" s="235"/>
      <c r="I666" s="291"/>
      <c r="J666" s="344"/>
    </row>
    <row r="667" spans="2:10" ht="16.5" thickBot="1" x14ac:dyDescent="0.3">
      <c r="B667" s="350" t="s">
        <v>43</v>
      </c>
      <c r="C667" s="8" t="s">
        <v>44</v>
      </c>
      <c r="D667" s="7"/>
      <c r="E667" s="6"/>
      <c r="F667" s="293"/>
      <c r="G667" s="294" t="s">
        <v>45</v>
      </c>
      <c r="H667" s="294" t="s">
        <v>109</v>
      </c>
      <c r="I667" s="294" t="s">
        <v>1059</v>
      </c>
      <c r="J667" s="351" t="s">
        <v>1060</v>
      </c>
    </row>
    <row r="668" spans="2:10" ht="15" x14ac:dyDescent="0.25">
      <c r="B668" s="257" t="s">
        <v>71</v>
      </c>
      <c r="C668" s="5" t="str">
        <f>VLOOKUP(B668,CUADRILLAS!$B$4:$G$19,2,)</f>
        <v>CUADRILLA I (Oficial + ayudante)</v>
      </c>
      <c r="D668" s="4"/>
      <c r="E668" s="4"/>
      <c r="F668" s="3"/>
      <c r="G668" s="259" t="str">
        <f>VLOOKUP(B668,CUADRILLAS!$B$4:$G$19,5,FALSE)</f>
        <v>H</v>
      </c>
      <c r="H668" s="296">
        <f>VLOOKUP(B668,CUADRILLAS!$B$4:$G$19,6,FALSE)</f>
        <v>63785.417685</v>
      </c>
      <c r="I668" s="260">
        <v>0.80942650146577111</v>
      </c>
      <c r="J668" s="352">
        <f>H668*I668</f>
        <v>51629.607481302475</v>
      </c>
    </row>
    <row r="669" spans="2:10" ht="15" x14ac:dyDescent="0.25">
      <c r="B669" s="262"/>
      <c r="C669" s="2"/>
      <c r="D669" s="1"/>
      <c r="E669" s="1"/>
      <c r="F669" s="15"/>
      <c r="G669" s="263"/>
      <c r="H669" s="264"/>
      <c r="I669" s="265"/>
      <c r="J669" s="261"/>
    </row>
    <row r="670" spans="2:10" ht="15" x14ac:dyDescent="0.25">
      <c r="B670" s="262"/>
      <c r="C670" s="299"/>
      <c r="D670" s="300"/>
      <c r="E670" s="300"/>
      <c r="F670" s="301"/>
      <c r="G670" s="263"/>
      <c r="H670" s="264"/>
      <c r="I670" s="265"/>
      <c r="J670" s="261"/>
    </row>
    <row r="671" spans="2:10" ht="15" x14ac:dyDescent="0.25">
      <c r="B671" s="262"/>
      <c r="C671" s="299"/>
      <c r="D671" s="300"/>
      <c r="E671" s="300"/>
      <c r="F671" s="301"/>
      <c r="G671" s="263"/>
      <c r="H671" s="264"/>
      <c r="I671" s="265"/>
      <c r="J671" s="261"/>
    </row>
    <row r="672" spans="2:10" ht="15" x14ac:dyDescent="0.25">
      <c r="B672" s="262"/>
      <c r="C672" s="299"/>
      <c r="D672" s="300"/>
      <c r="E672" s="300"/>
      <c r="F672" s="301"/>
      <c r="G672" s="263"/>
      <c r="H672" s="264"/>
      <c r="I672" s="265"/>
      <c r="J672" s="261">
        <f>+H672*I672</f>
        <v>0</v>
      </c>
    </row>
    <row r="673" spans="2:12" ht="15.75" x14ac:dyDescent="0.25">
      <c r="B673" s="266"/>
      <c r="C673" s="228"/>
      <c r="D673" s="228"/>
      <c r="E673" s="228"/>
      <c r="F673" s="228"/>
      <c r="G673" s="286"/>
      <c r="H673" s="235"/>
      <c r="I673" s="302" t="s">
        <v>1061</v>
      </c>
      <c r="J673" s="353">
        <f>SUM(J668:J672)</f>
        <v>51629.607481302475</v>
      </c>
    </row>
    <row r="674" spans="2:12" ht="15.75" thickBot="1" x14ac:dyDescent="0.3">
      <c r="B674" s="266"/>
      <c r="C674" s="228"/>
      <c r="D674" s="228"/>
      <c r="E674" s="228"/>
      <c r="F674" s="228"/>
      <c r="G674" s="286"/>
      <c r="H674" s="235"/>
      <c r="I674" s="236"/>
      <c r="J674" s="344"/>
    </row>
    <row r="675" spans="2:12" ht="16.5" thickBot="1" x14ac:dyDescent="0.3">
      <c r="B675" s="266"/>
      <c r="C675" s="228"/>
      <c r="D675" s="228"/>
      <c r="E675" s="228"/>
      <c r="F675" s="228"/>
      <c r="G675" s="14" t="s">
        <v>1071</v>
      </c>
      <c r="H675" s="13"/>
      <c r="I675" s="12"/>
      <c r="J675" s="354">
        <f>ROUND((SUM(J673+J665+J657+J650)),2)</f>
        <v>69687</v>
      </c>
      <c r="L675" s="95">
        <v>69687</v>
      </c>
    </row>
    <row r="676" spans="2:12" ht="16.5" thickBot="1" x14ac:dyDescent="0.3">
      <c r="B676" s="266"/>
      <c r="C676" s="228"/>
      <c r="D676" s="228"/>
      <c r="E676" s="228"/>
      <c r="F676" s="228"/>
      <c r="G676" s="394"/>
      <c r="H676" s="394"/>
      <c r="I676" s="305"/>
      <c r="J676" s="354"/>
    </row>
    <row r="677" spans="2:12" ht="16.5" thickBot="1" x14ac:dyDescent="0.3">
      <c r="B677" s="266"/>
      <c r="C677" s="228"/>
      <c r="D677" s="228"/>
      <c r="E677" s="228"/>
      <c r="F677" s="228"/>
      <c r="G677" s="14" t="s">
        <v>1072</v>
      </c>
      <c r="H677" s="13"/>
      <c r="I677" s="12"/>
      <c r="J677" s="355">
        <f>+J675+J676</f>
        <v>69687</v>
      </c>
    </row>
    <row r="678" spans="2:12" ht="14.25" thickBot="1" x14ac:dyDescent="0.3">
      <c r="B678" s="356"/>
      <c r="C678" s="357"/>
      <c r="D678" s="357"/>
      <c r="E678" s="357"/>
      <c r="F678" s="357"/>
      <c r="G678" s="357"/>
      <c r="H678" s="357"/>
      <c r="I678" s="357"/>
      <c r="J678" s="358"/>
    </row>
    <row r="679" spans="2:12" ht="14.25" thickBot="1" x14ac:dyDescent="0.3"/>
    <row r="680" spans="2:12" x14ac:dyDescent="0.25">
      <c r="B680" s="419"/>
      <c r="C680" s="420"/>
      <c r="D680" s="423" t="s">
        <v>1052</v>
      </c>
      <c r="E680" s="424"/>
      <c r="F680" s="424"/>
      <c r="G680" s="424"/>
      <c r="H680" s="425"/>
      <c r="I680" s="429"/>
      <c r="J680" s="430"/>
    </row>
    <row r="681" spans="2:12" ht="14.25" thickBot="1" x14ac:dyDescent="0.3">
      <c r="B681" s="421"/>
      <c r="C681" s="422"/>
      <c r="D681" s="426"/>
      <c r="E681" s="427"/>
      <c r="F681" s="427"/>
      <c r="G681" s="427"/>
      <c r="H681" s="428"/>
      <c r="I681" s="431"/>
      <c r="J681" s="432"/>
    </row>
    <row r="682" spans="2:12" ht="16.5" thickBot="1" x14ac:dyDescent="0.3">
      <c r="B682" s="337"/>
      <c r="C682" s="219"/>
      <c r="D682" s="219"/>
      <c r="E682" s="219"/>
      <c r="F682" s="219"/>
      <c r="G682" s="219"/>
      <c r="H682" s="219"/>
      <c r="I682" s="219"/>
      <c r="J682" s="338"/>
    </row>
    <row r="683" spans="2:12" ht="16.5" thickBot="1" x14ac:dyDescent="0.3">
      <c r="B683" s="433" t="s">
        <v>1053</v>
      </c>
      <c r="C683" s="434"/>
      <c r="D683" s="222"/>
      <c r="E683" s="223" t="s">
        <v>171</v>
      </c>
      <c r="F683" s="222">
        <v>30</v>
      </c>
      <c r="G683" s="222" t="s">
        <v>462</v>
      </c>
      <c r="H683" s="223">
        <v>4</v>
      </c>
      <c r="I683" s="224" t="s">
        <v>1054</v>
      </c>
      <c r="J683" s="225">
        <v>2026</v>
      </c>
    </row>
    <row r="684" spans="2:12" ht="15.75" thickBot="1" x14ac:dyDescent="0.3">
      <c r="B684" s="266"/>
      <c r="C684" s="228"/>
      <c r="D684" s="228"/>
      <c r="E684" s="228"/>
      <c r="F684" s="228"/>
      <c r="G684" s="228"/>
      <c r="H684" s="228"/>
      <c r="I684" s="228"/>
      <c r="J684" s="339"/>
    </row>
    <row r="685" spans="2:12" x14ac:dyDescent="0.25">
      <c r="B685" s="435" t="s">
        <v>1055</v>
      </c>
      <c r="C685" s="436"/>
      <c r="D685" s="441" t="s">
        <v>1110</v>
      </c>
      <c r="E685" s="442"/>
      <c r="F685" s="442"/>
      <c r="G685" s="442"/>
      <c r="H685" s="442"/>
      <c r="I685" s="442"/>
      <c r="J685" s="443"/>
    </row>
    <row r="686" spans="2:12" x14ac:dyDescent="0.25">
      <c r="B686" s="437"/>
      <c r="C686" s="438"/>
      <c r="D686" s="444"/>
      <c r="E686" s="445"/>
      <c r="F686" s="445"/>
      <c r="G686" s="445"/>
      <c r="H686" s="445"/>
      <c r="I686" s="445"/>
      <c r="J686" s="446"/>
    </row>
    <row r="687" spans="2:12" ht="14.25" thickBot="1" x14ac:dyDescent="0.3">
      <c r="B687" s="439"/>
      <c r="C687" s="440"/>
      <c r="D687" s="447"/>
      <c r="E687" s="448"/>
      <c r="F687" s="448"/>
      <c r="G687" s="448"/>
      <c r="H687" s="448"/>
      <c r="I687" s="448"/>
      <c r="J687" s="449"/>
    </row>
    <row r="688" spans="2:12" ht="16.5" thickBot="1" x14ac:dyDescent="0.3">
      <c r="B688" s="404"/>
      <c r="C688" s="405"/>
      <c r="D688" s="405"/>
      <c r="E688" s="405"/>
      <c r="F688" s="405"/>
      <c r="G688" s="405"/>
      <c r="H688" s="405"/>
      <c r="I688" s="405"/>
      <c r="J688" s="406"/>
    </row>
    <row r="689" spans="2:10" ht="16.5" thickBot="1" x14ac:dyDescent="0.3">
      <c r="B689" s="340" t="s">
        <v>1056</v>
      </c>
      <c r="C689" s="364">
        <v>3.1</v>
      </c>
      <c r="D689" s="407" t="str">
        <f>'ppto oficial '!B22</f>
        <v>Limpieza portones metalicos bodegas (Incluye lijado y alistamiento)</v>
      </c>
      <c r="E689" s="408"/>
      <c r="F689" s="408"/>
      <c r="G689" s="408"/>
      <c r="H689" s="409"/>
      <c r="I689" s="232" t="s">
        <v>1057</v>
      </c>
      <c r="J689" s="341" t="str">
        <f>VLOOKUP(C689,'ppto oficial '!$A$5:$D$30,3,FALSE)</f>
        <v>m2</v>
      </c>
    </row>
    <row r="690" spans="2:10" ht="15.75" thickBot="1" x14ac:dyDescent="0.3">
      <c r="B690" s="266"/>
      <c r="C690" s="228"/>
      <c r="D690" s="228"/>
      <c r="E690" s="228"/>
      <c r="F690" s="228"/>
      <c r="G690" s="228"/>
      <c r="H690" s="235"/>
      <c r="I690" s="236"/>
      <c r="J690" s="342"/>
    </row>
    <row r="691" spans="2:10" ht="16.5" thickBot="1" x14ac:dyDescent="0.3">
      <c r="B691" s="343" t="s">
        <v>1058</v>
      </c>
      <c r="C691" s="239"/>
      <c r="D691" s="228"/>
      <c r="E691" s="228"/>
      <c r="F691" s="228"/>
      <c r="G691" s="228"/>
      <c r="H691" s="235"/>
      <c r="I691" s="236"/>
      <c r="J691" s="344"/>
    </row>
    <row r="692" spans="2:10" ht="16.5" thickBot="1" x14ac:dyDescent="0.3">
      <c r="B692" s="318" t="s">
        <v>43</v>
      </c>
      <c r="C692" s="410" t="s">
        <v>2</v>
      </c>
      <c r="D692" s="411"/>
      <c r="E692" s="412"/>
      <c r="F692" s="319"/>
      <c r="G692" s="320" t="s">
        <v>105</v>
      </c>
      <c r="H692" s="320" t="s">
        <v>106</v>
      </c>
      <c r="I692" s="320" t="s">
        <v>1059</v>
      </c>
      <c r="J692" s="321" t="s">
        <v>1060</v>
      </c>
    </row>
    <row r="693" spans="2:10" ht="15" x14ac:dyDescent="0.25">
      <c r="B693" s="257" t="s">
        <v>113</v>
      </c>
      <c r="C693" s="413" t="s">
        <v>114</v>
      </c>
      <c r="D693" s="414"/>
      <c r="E693" s="414"/>
      <c r="F693" s="415"/>
      <c r="G693" s="251" t="s">
        <v>1073</v>
      </c>
      <c r="H693" s="252">
        <f>+J712</f>
        <v>23610.137360610734</v>
      </c>
      <c r="I693" s="314">
        <v>0.05</v>
      </c>
      <c r="J693" s="345">
        <v>365.85710977962196</v>
      </c>
    </row>
    <row r="694" spans="2:10" ht="15" x14ac:dyDescent="0.25">
      <c r="B694" s="262"/>
      <c r="C694" s="398"/>
      <c r="D694" s="399"/>
      <c r="E694" s="399"/>
      <c r="F694" s="400"/>
      <c r="G694" s="263"/>
      <c r="H694" s="264"/>
      <c r="I694" s="260"/>
      <c r="J694" s="261"/>
    </row>
    <row r="695" spans="2:10" ht="15" x14ac:dyDescent="0.25">
      <c r="B695" s="262"/>
      <c r="C695" s="11"/>
      <c r="D695" s="10"/>
      <c r="E695" s="10"/>
      <c r="F695" s="9"/>
      <c r="G695" s="263"/>
      <c r="H695" s="264"/>
      <c r="I695" s="265"/>
      <c r="J695" s="261"/>
    </row>
    <row r="696" spans="2:10" ht="16.5" thickBot="1" x14ac:dyDescent="0.3">
      <c r="B696" s="266"/>
      <c r="C696" s="228"/>
      <c r="D696" s="267"/>
      <c r="E696" s="267"/>
      <c r="F696" s="267"/>
      <c r="G696" s="268"/>
      <c r="H696" s="269"/>
      <c r="I696" s="270" t="s">
        <v>1061</v>
      </c>
      <c r="J696" s="271">
        <f>ROUND((SUM(J693:J695)),2)</f>
        <v>365.86</v>
      </c>
    </row>
    <row r="697" spans="2:10" ht="16.5" thickBot="1" x14ac:dyDescent="0.3">
      <c r="B697" s="272" t="s">
        <v>1062</v>
      </c>
      <c r="C697" s="273"/>
      <c r="D697" s="274"/>
      <c r="E697" s="274"/>
      <c r="F697" s="274"/>
      <c r="G697" s="274"/>
      <c r="H697" s="275"/>
      <c r="I697" s="276"/>
      <c r="J697" s="277"/>
    </row>
    <row r="698" spans="2:10" ht="16.5" thickBot="1" x14ac:dyDescent="0.3">
      <c r="B698" s="346" t="s">
        <v>43</v>
      </c>
      <c r="C698" s="401" t="s">
        <v>44</v>
      </c>
      <c r="D698" s="402"/>
      <c r="E698" s="403"/>
      <c r="F698" s="279"/>
      <c r="G698" s="280" t="s">
        <v>45</v>
      </c>
      <c r="H698" s="280" t="s">
        <v>109</v>
      </c>
      <c r="I698" s="280" t="s">
        <v>4</v>
      </c>
      <c r="J698" s="347" t="s">
        <v>1060</v>
      </c>
    </row>
    <row r="699" spans="2:10" ht="15" x14ac:dyDescent="0.25">
      <c r="B699" s="262"/>
      <c r="C699" s="11"/>
      <c r="D699" s="10"/>
      <c r="E699" s="10"/>
      <c r="F699" s="9"/>
      <c r="G699" s="263"/>
      <c r="H699" s="264"/>
      <c r="I699" s="265"/>
      <c r="J699" s="324"/>
    </row>
    <row r="700" spans="2:10" ht="15" x14ac:dyDescent="0.25">
      <c r="B700" s="262"/>
      <c r="C700" s="11"/>
      <c r="D700" s="10"/>
      <c r="E700" s="10"/>
      <c r="F700" s="9"/>
      <c r="G700" s="263"/>
      <c r="H700" s="264"/>
      <c r="I700" s="265"/>
      <c r="J700" s="324"/>
    </row>
    <row r="701" spans="2:10" ht="15" x14ac:dyDescent="0.25">
      <c r="B701" s="262"/>
      <c r="C701" s="11"/>
      <c r="D701" s="10"/>
      <c r="E701" s="10"/>
      <c r="F701" s="9"/>
      <c r="G701" s="263"/>
      <c r="H701" s="264"/>
      <c r="I701" s="265"/>
      <c r="J701" s="324"/>
    </row>
    <row r="702" spans="2:10" ht="16.5" thickBot="1" x14ac:dyDescent="0.3">
      <c r="B702" s="266"/>
      <c r="C702" s="228"/>
      <c r="D702" s="228"/>
      <c r="E702" s="228"/>
      <c r="F702" s="228"/>
      <c r="G702" s="286"/>
      <c r="H702" s="287"/>
      <c r="I702" s="270" t="s">
        <v>1061</v>
      </c>
      <c r="J702" s="271">
        <f>+SUM(J699:J701)</f>
        <v>0</v>
      </c>
    </row>
    <row r="703" spans="2:10" ht="16.5" thickBot="1" x14ac:dyDescent="0.3">
      <c r="B703" s="349" t="s">
        <v>1068</v>
      </c>
      <c r="C703" s="290"/>
      <c r="D703" s="228"/>
      <c r="E703" s="228"/>
      <c r="F703" s="228"/>
      <c r="G703" s="228"/>
      <c r="H703" s="235"/>
      <c r="I703" s="291"/>
      <c r="J703" s="344"/>
    </row>
    <row r="704" spans="2:10" ht="16.5" thickBot="1" x14ac:dyDescent="0.3">
      <c r="B704" s="350" t="s">
        <v>43</v>
      </c>
      <c r="C704" s="8" t="s">
        <v>44</v>
      </c>
      <c r="D704" s="7"/>
      <c r="E704" s="6"/>
      <c r="F704" s="293"/>
      <c r="G704" s="331" t="s">
        <v>107</v>
      </c>
      <c r="H704" s="294" t="s">
        <v>108</v>
      </c>
      <c r="I704" s="294" t="s">
        <v>1069</v>
      </c>
      <c r="J704" s="351" t="s">
        <v>1060</v>
      </c>
    </row>
    <row r="705" spans="2:12" ht="15" x14ac:dyDescent="0.25">
      <c r="B705" s="257"/>
      <c r="C705" s="11"/>
      <c r="D705" s="10"/>
      <c r="E705" s="10"/>
      <c r="F705" s="9"/>
      <c r="G705" s="258"/>
      <c r="H705" s="259"/>
      <c r="I705" s="260"/>
      <c r="J705" s="324"/>
    </row>
    <row r="706" spans="2:12" ht="15" x14ac:dyDescent="0.25">
      <c r="B706" s="257"/>
      <c r="C706" s="11"/>
      <c r="D706" s="10"/>
      <c r="E706" s="10"/>
      <c r="F706" s="9"/>
      <c r="G706" s="258"/>
      <c r="H706" s="259"/>
      <c r="I706" s="260"/>
      <c r="J706" s="324">
        <f>+G706*I706</f>
        <v>0</v>
      </c>
    </row>
    <row r="707" spans="2:12" ht="15" x14ac:dyDescent="0.25">
      <c r="B707" s="257"/>
      <c r="C707" s="11"/>
      <c r="D707" s="10"/>
      <c r="E707" s="10"/>
      <c r="F707" s="9"/>
      <c r="G707" s="258"/>
      <c r="H707" s="259"/>
      <c r="I707" s="260"/>
      <c r="J707" s="324">
        <f>+G707*I707</f>
        <v>0</v>
      </c>
    </row>
    <row r="708" spans="2:12" ht="15" x14ac:dyDescent="0.25">
      <c r="B708" s="262"/>
      <c r="C708" s="11"/>
      <c r="D708" s="10"/>
      <c r="E708" s="10"/>
      <c r="F708" s="9"/>
      <c r="G708" s="263"/>
      <c r="H708" s="264"/>
      <c r="I708" s="265"/>
      <c r="J708" s="261">
        <f>+G708*I708</f>
        <v>0</v>
      </c>
    </row>
    <row r="709" spans="2:12" ht="16.5" thickBot="1" x14ac:dyDescent="0.3">
      <c r="B709" s="266"/>
      <c r="C709" s="228"/>
      <c r="D709" s="228"/>
      <c r="E709" s="228"/>
      <c r="F709" s="228"/>
      <c r="G709" s="228"/>
      <c r="H709" s="235"/>
      <c r="I709" s="298" t="s">
        <v>1061</v>
      </c>
      <c r="J709" s="271">
        <f>ROUND((SUM(J705:J708)),2)</f>
        <v>0</v>
      </c>
    </row>
    <row r="710" spans="2:12" ht="16.5" thickBot="1" x14ac:dyDescent="0.3">
      <c r="B710" s="349" t="s">
        <v>1070</v>
      </c>
      <c r="C710" s="290"/>
      <c r="D710" s="228"/>
      <c r="E710" s="228"/>
      <c r="F710" s="228"/>
      <c r="G710" s="228"/>
      <c r="H710" s="235"/>
      <c r="I710" s="291"/>
      <c r="J710" s="344"/>
    </row>
    <row r="711" spans="2:12" ht="16.5" thickBot="1" x14ac:dyDescent="0.3">
      <c r="B711" s="350" t="s">
        <v>43</v>
      </c>
      <c r="C711" s="8" t="s">
        <v>44</v>
      </c>
      <c r="D711" s="7"/>
      <c r="E711" s="6"/>
      <c r="F711" s="293"/>
      <c r="G711" s="294" t="s">
        <v>45</v>
      </c>
      <c r="H711" s="294" t="s">
        <v>109</v>
      </c>
      <c r="I711" s="294" t="s">
        <v>1059</v>
      </c>
      <c r="J711" s="351" t="s">
        <v>1060</v>
      </c>
    </row>
    <row r="712" spans="2:12" ht="15" x14ac:dyDescent="0.25">
      <c r="B712" s="257" t="s">
        <v>71</v>
      </c>
      <c r="C712" s="5" t="str">
        <f>VLOOKUP(B712,CUADRILLAS!$B$4:$G$19,2,)</f>
        <v>CUADRILLA I (Oficial + ayudante)</v>
      </c>
      <c r="D712" s="4"/>
      <c r="E712" s="4"/>
      <c r="F712" s="3"/>
      <c r="G712" s="259" t="str">
        <f>VLOOKUP(B712,CUADRILLAS!$B$4:$G$19,5,FALSE)</f>
        <v>H</v>
      </c>
      <c r="H712" s="296">
        <f>VLOOKUP(B712,CUADRILLAS!$B$4:$G$19,6,FALSE)</f>
        <v>63785.417685</v>
      </c>
      <c r="I712" s="260">
        <v>0.37014945135591665</v>
      </c>
      <c r="J712" s="352">
        <f>H712*I712</f>
        <v>23610.137360610734</v>
      </c>
    </row>
    <row r="713" spans="2:12" ht="15" x14ac:dyDescent="0.25">
      <c r="B713" s="262"/>
      <c r="C713" s="2"/>
      <c r="D713" s="1"/>
      <c r="E713" s="1"/>
      <c r="F713" s="15"/>
      <c r="G713" s="263"/>
      <c r="H713" s="264"/>
      <c r="I713" s="265"/>
      <c r="J713" s="261"/>
    </row>
    <row r="714" spans="2:12" ht="15" x14ac:dyDescent="0.25">
      <c r="B714" s="262"/>
      <c r="C714" s="299"/>
      <c r="D714" s="300"/>
      <c r="E714" s="300"/>
      <c r="F714" s="301"/>
      <c r="G714" s="263"/>
      <c r="H714" s="264"/>
      <c r="I714" s="265"/>
      <c r="J714" s="261"/>
    </row>
    <row r="715" spans="2:12" ht="15" x14ac:dyDescent="0.25">
      <c r="B715" s="262"/>
      <c r="C715" s="299"/>
      <c r="D715" s="300"/>
      <c r="E715" s="300"/>
      <c r="F715" s="301"/>
      <c r="G715" s="263"/>
      <c r="H715" s="264"/>
      <c r="I715" s="265"/>
      <c r="J715" s="261"/>
    </row>
    <row r="716" spans="2:12" ht="15" x14ac:dyDescent="0.25">
      <c r="B716" s="262"/>
      <c r="C716" s="299"/>
      <c r="D716" s="300"/>
      <c r="E716" s="300"/>
      <c r="F716" s="301"/>
      <c r="G716" s="263"/>
      <c r="H716" s="264"/>
      <c r="I716" s="265"/>
      <c r="J716" s="261">
        <f>+H716*I716</f>
        <v>0</v>
      </c>
    </row>
    <row r="717" spans="2:12" ht="15.75" x14ac:dyDescent="0.25">
      <c r="B717" s="266"/>
      <c r="C717" s="228"/>
      <c r="D717" s="228"/>
      <c r="E717" s="228"/>
      <c r="F717" s="228"/>
      <c r="G717" s="286"/>
      <c r="H717" s="235"/>
      <c r="I717" s="302" t="s">
        <v>1061</v>
      </c>
      <c r="J717" s="353">
        <f>SUM(J712:J716)</f>
        <v>23610.137360610734</v>
      </c>
    </row>
    <row r="718" spans="2:12" ht="15.75" thickBot="1" x14ac:dyDescent="0.3">
      <c r="B718" s="266"/>
      <c r="C718" s="228"/>
      <c r="D718" s="228"/>
      <c r="E718" s="228"/>
      <c r="F718" s="228"/>
      <c r="G718" s="286"/>
      <c r="H718" s="235"/>
      <c r="I718" s="236"/>
      <c r="J718" s="344"/>
    </row>
    <row r="719" spans="2:12" ht="16.5" thickBot="1" x14ac:dyDescent="0.3">
      <c r="B719" s="266"/>
      <c r="C719" s="228"/>
      <c r="D719" s="228"/>
      <c r="E719" s="228"/>
      <c r="F719" s="228"/>
      <c r="G719" s="14" t="s">
        <v>1071</v>
      </c>
      <c r="H719" s="13"/>
      <c r="I719" s="12"/>
      <c r="J719" s="354">
        <f>ROUND((SUM(J717+J709+J702+J696)),2)</f>
        <v>23976</v>
      </c>
      <c r="L719" s="95">
        <v>23976</v>
      </c>
    </row>
    <row r="720" spans="2:12" ht="16.5" thickBot="1" x14ac:dyDescent="0.3">
      <c r="B720" s="266"/>
      <c r="C720" s="228"/>
      <c r="D720" s="228"/>
      <c r="E720" s="228"/>
      <c r="F720" s="228"/>
      <c r="G720" s="394"/>
      <c r="H720" s="394"/>
      <c r="I720" s="305"/>
      <c r="J720" s="354"/>
    </row>
    <row r="721" spans="2:10" ht="16.5" thickBot="1" x14ac:dyDescent="0.3">
      <c r="B721" s="266"/>
      <c r="C721" s="228"/>
      <c r="D721" s="228"/>
      <c r="E721" s="228"/>
      <c r="F721" s="228"/>
      <c r="G721" s="14" t="s">
        <v>1072</v>
      </c>
      <c r="H721" s="13"/>
      <c r="I721" s="12"/>
      <c r="J721" s="355">
        <f>+J719+J720</f>
        <v>23976</v>
      </c>
    </row>
    <row r="722" spans="2:10" ht="14.25" thickBot="1" x14ac:dyDescent="0.3">
      <c r="B722" s="356"/>
      <c r="C722" s="357"/>
      <c r="D722" s="357"/>
      <c r="E722" s="357"/>
      <c r="F722" s="357"/>
      <c r="G722" s="357"/>
      <c r="H722" s="357"/>
      <c r="I722" s="357"/>
      <c r="J722" s="358"/>
    </row>
    <row r="723" spans="2:10" ht="14.25" thickBot="1" x14ac:dyDescent="0.3"/>
    <row r="724" spans="2:10" x14ac:dyDescent="0.25">
      <c r="B724" s="419"/>
      <c r="C724" s="420"/>
      <c r="D724" s="423" t="s">
        <v>1052</v>
      </c>
      <c r="E724" s="424"/>
      <c r="F724" s="424"/>
      <c r="G724" s="424"/>
      <c r="H724" s="425"/>
      <c r="I724" s="429"/>
      <c r="J724" s="430"/>
    </row>
    <row r="725" spans="2:10" ht="14.25" thickBot="1" x14ac:dyDescent="0.3">
      <c r="B725" s="421"/>
      <c r="C725" s="422"/>
      <c r="D725" s="426"/>
      <c r="E725" s="427"/>
      <c r="F725" s="427"/>
      <c r="G725" s="427"/>
      <c r="H725" s="428"/>
      <c r="I725" s="431"/>
      <c r="J725" s="432"/>
    </row>
    <row r="726" spans="2:10" ht="16.5" thickBot="1" x14ac:dyDescent="0.3">
      <c r="B726" s="337"/>
      <c r="C726" s="219"/>
      <c r="D726" s="219"/>
      <c r="E726" s="219"/>
      <c r="F726" s="219"/>
      <c r="G726" s="219"/>
      <c r="H726" s="219"/>
      <c r="I726" s="219"/>
      <c r="J726" s="338"/>
    </row>
    <row r="727" spans="2:10" ht="16.5" thickBot="1" x14ac:dyDescent="0.3">
      <c r="B727" s="433" t="s">
        <v>1053</v>
      </c>
      <c r="C727" s="434"/>
      <c r="D727" s="222"/>
      <c r="E727" s="223" t="s">
        <v>171</v>
      </c>
      <c r="F727" s="222">
        <v>30</v>
      </c>
      <c r="G727" s="222" t="s">
        <v>462</v>
      </c>
      <c r="H727" s="223">
        <v>4</v>
      </c>
      <c r="I727" s="224" t="s">
        <v>1054</v>
      </c>
      <c r="J727" s="225">
        <v>2026</v>
      </c>
    </row>
    <row r="728" spans="2:10" ht="15.75" thickBot="1" x14ac:dyDescent="0.3">
      <c r="B728" s="266"/>
      <c r="C728" s="228"/>
      <c r="D728" s="228"/>
      <c r="E728" s="228"/>
      <c r="F728" s="228"/>
      <c r="G728" s="228"/>
      <c r="H728" s="228"/>
      <c r="I728" s="228"/>
      <c r="J728" s="339"/>
    </row>
    <row r="729" spans="2:10" x14ac:dyDescent="0.25">
      <c r="B729" s="435" t="s">
        <v>1055</v>
      </c>
      <c r="C729" s="436"/>
      <c r="D729" s="441" t="s">
        <v>1110</v>
      </c>
      <c r="E729" s="442"/>
      <c r="F729" s="442"/>
      <c r="G729" s="442"/>
      <c r="H729" s="442"/>
      <c r="I729" s="442"/>
      <c r="J729" s="443"/>
    </row>
    <row r="730" spans="2:10" x14ac:dyDescent="0.25">
      <c r="B730" s="437"/>
      <c r="C730" s="438"/>
      <c r="D730" s="444"/>
      <c r="E730" s="445"/>
      <c r="F730" s="445"/>
      <c r="G730" s="445"/>
      <c r="H730" s="445"/>
      <c r="I730" s="445"/>
      <c r="J730" s="446"/>
    </row>
    <row r="731" spans="2:10" ht="14.25" thickBot="1" x14ac:dyDescent="0.3">
      <c r="B731" s="439"/>
      <c r="C731" s="440"/>
      <c r="D731" s="447"/>
      <c r="E731" s="448"/>
      <c r="F731" s="448"/>
      <c r="G731" s="448"/>
      <c r="H731" s="448"/>
      <c r="I731" s="448"/>
      <c r="J731" s="449"/>
    </row>
    <row r="732" spans="2:10" ht="16.5" thickBot="1" x14ac:dyDescent="0.3">
      <c r="B732" s="404"/>
      <c r="C732" s="405"/>
      <c r="D732" s="405"/>
      <c r="E732" s="405"/>
      <c r="F732" s="405"/>
      <c r="G732" s="405"/>
      <c r="H732" s="405"/>
      <c r="I732" s="405"/>
      <c r="J732" s="406"/>
    </row>
    <row r="733" spans="2:10" ht="16.5" thickBot="1" x14ac:dyDescent="0.3">
      <c r="B733" s="340" t="s">
        <v>1056</v>
      </c>
      <c r="C733" s="232">
        <v>3.11</v>
      </c>
      <c r="D733" s="407" t="str">
        <f>'ppto oficial '!B23</f>
        <v>Suministro, aplicación y terminado de pintura anticorrosiva color gris para portones metalicos.</v>
      </c>
      <c r="E733" s="408"/>
      <c r="F733" s="408"/>
      <c r="G733" s="408"/>
      <c r="H733" s="409"/>
      <c r="I733" s="232" t="s">
        <v>1057</v>
      </c>
      <c r="J733" s="341" t="str">
        <f>VLOOKUP(C733,'ppto oficial '!$A$5:$D$30,3,FALSE)</f>
        <v>m2</v>
      </c>
    </row>
    <row r="734" spans="2:10" ht="15.75" thickBot="1" x14ac:dyDescent="0.3">
      <c r="B734" s="266"/>
      <c r="C734" s="228"/>
      <c r="D734" s="228"/>
      <c r="E734" s="228"/>
      <c r="F734" s="228"/>
      <c r="G734" s="228"/>
      <c r="H734" s="235"/>
      <c r="I734" s="236"/>
      <c r="J734" s="342"/>
    </row>
    <row r="735" spans="2:10" ht="16.5" thickBot="1" x14ac:dyDescent="0.3">
      <c r="B735" s="343" t="s">
        <v>1058</v>
      </c>
      <c r="C735" s="239"/>
      <c r="D735" s="228"/>
      <c r="E735" s="228"/>
      <c r="F735" s="228"/>
      <c r="G735" s="228"/>
      <c r="H735" s="235"/>
      <c r="I735" s="236"/>
      <c r="J735" s="344"/>
    </row>
    <row r="736" spans="2:10" ht="16.5" thickBot="1" x14ac:dyDescent="0.3">
      <c r="B736" s="318" t="s">
        <v>43</v>
      </c>
      <c r="C736" s="410" t="s">
        <v>2</v>
      </c>
      <c r="D736" s="411"/>
      <c r="E736" s="412"/>
      <c r="F736" s="319"/>
      <c r="G736" s="320" t="s">
        <v>105</v>
      </c>
      <c r="H736" s="320" t="s">
        <v>106</v>
      </c>
      <c r="I736" s="320" t="s">
        <v>1059</v>
      </c>
      <c r="J736" s="321" t="s">
        <v>1060</v>
      </c>
    </row>
    <row r="737" spans="2:10" ht="15" x14ac:dyDescent="0.25">
      <c r="B737" s="257" t="s">
        <v>113</v>
      </c>
      <c r="C737" s="413" t="s">
        <v>114</v>
      </c>
      <c r="D737" s="414"/>
      <c r="E737" s="414"/>
      <c r="F737" s="415"/>
      <c r="G737" s="251" t="s">
        <v>1073</v>
      </c>
      <c r="H737" s="252">
        <f>+J760</f>
        <v>9505.9195120926306</v>
      </c>
      <c r="I737" s="314">
        <v>0.05</v>
      </c>
      <c r="J737" s="345">
        <v>365.85710977962196</v>
      </c>
    </row>
    <row r="738" spans="2:10" ht="15" x14ac:dyDescent="0.25">
      <c r="B738" s="262" t="s">
        <v>275</v>
      </c>
      <c r="C738" s="416" t="str">
        <f>VLOOKUP(B738,INSUMOS!$K$4:$N$135,2,FALSE)</f>
        <v>Compresor Neumático</v>
      </c>
      <c r="D738" s="417"/>
      <c r="E738" s="417"/>
      <c r="F738" s="418"/>
      <c r="G738" s="251" t="str">
        <f>VLOOKUP(B738,INSUMOS!$K$4:$N$135,3,FALSE)</f>
        <v>dia</v>
      </c>
      <c r="H738" s="252">
        <f>VLOOKUP(B738,INSUMOS!$K$4:$N$135,4,FALSE)</f>
        <v>291200</v>
      </c>
      <c r="I738" s="322">
        <f>+I760/8</f>
        <v>1.8628708286894381E-2</v>
      </c>
      <c r="J738" s="323">
        <f>+H738*I738</f>
        <v>5424.6798531436434</v>
      </c>
    </row>
    <row r="739" spans="2:10" ht="15" x14ac:dyDescent="0.25">
      <c r="B739" s="262" t="s">
        <v>169</v>
      </c>
      <c r="C739" s="416" t="str">
        <f>VLOOKUP(B739,INSUMOS!$K$4:$N$135,2,FALSE)</f>
        <v xml:space="preserve">Andamio certificado x modulo </v>
      </c>
      <c r="D739" s="417"/>
      <c r="E739" s="417"/>
      <c r="F739" s="418"/>
      <c r="G739" s="251" t="str">
        <f>VLOOKUP(B739,INSUMOS!$K$4:$N$135,3,FALSE)</f>
        <v>DIA</v>
      </c>
      <c r="H739" s="252">
        <f>VLOOKUP(B739,INSUMOS!$K$4:$N$135,4,FALSE)</f>
        <v>12000</v>
      </c>
      <c r="I739" s="322">
        <f>+I760/8</f>
        <v>1.8628708286894381E-2</v>
      </c>
      <c r="J739" s="323">
        <f>+H739*I739</f>
        <v>223.54449944273256</v>
      </c>
    </row>
    <row r="740" spans="2:10" ht="15" x14ac:dyDescent="0.25">
      <c r="B740" s="262"/>
      <c r="C740" s="398"/>
      <c r="D740" s="399"/>
      <c r="E740" s="399"/>
      <c r="F740" s="400"/>
      <c r="G740" s="263"/>
      <c r="H740" s="264"/>
      <c r="I740" s="260"/>
      <c r="J740" s="261"/>
    </row>
    <row r="741" spans="2:10" ht="15" x14ac:dyDescent="0.25">
      <c r="B741" s="262"/>
      <c r="C741" s="11"/>
      <c r="D741" s="10"/>
      <c r="E741" s="10"/>
      <c r="F741" s="9"/>
      <c r="G741" s="263"/>
      <c r="H741" s="264"/>
      <c r="I741" s="265"/>
      <c r="J741" s="261"/>
    </row>
    <row r="742" spans="2:10" ht="16.5" thickBot="1" x14ac:dyDescent="0.3">
      <c r="B742" s="266"/>
      <c r="C742" s="228"/>
      <c r="D742" s="267"/>
      <c r="E742" s="267"/>
      <c r="F742" s="267"/>
      <c r="G742" s="268"/>
      <c r="H742" s="269"/>
      <c r="I742" s="270" t="s">
        <v>1061</v>
      </c>
      <c r="J742" s="271">
        <f>ROUND((SUM(J737:J741)),2)</f>
        <v>6014.08</v>
      </c>
    </row>
    <row r="743" spans="2:10" ht="16.5" thickBot="1" x14ac:dyDescent="0.3">
      <c r="B743" s="272" t="s">
        <v>1062</v>
      </c>
      <c r="C743" s="273"/>
      <c r="D743" s="274"/>
      <c r="E743" s="274"/>
      <c r="F743" s="274"/>
      <c r="G743" s="274"/>
      <c r="H743" s="275"/>
      <c r="I743" s="276"/>
      <c r="J743" s="277"/>
    </row>
    <row r="744" spans="2:10" ht="16.5" thickBot="1" x14ac:dyDescent="0.3">
      <c r="B744" s="346" t="s">
        <v>43</v>
      </c>
      <c r="C744" s="401" t="s">
        <v>44</v>
      </c>
      <c r="D744" s="402"/>
      <c r="E744" s="403"/>
      <c r="F744" s="279"/>
      <c r="G744" s="280" t="s">
        <v>45</v>
      </c>
      <c r="H744" s="280" t="s">
        <v>109</v>
      </c>
      <c r="I744" s="280" t="s">
        <v>4</v>
      </c>
      <c r="J744" s="347" t="s">
        <v>1060</v>
      </c>
    </row>
    <row r="745" spans="2:10" ht="15.75" x14ac:dyDescent="0.25">
      <c r="B745" s="257" t="s">
        <v>880</v>
      </c>
      <c r="C745" s="5" t="s">
        <v>1088</v>
      </c>
      <c r="D745" s="4"/>
      <c r="E745" s="4"/>
      <c r="F745" s="3"/>
      <c r="G745" s="258" t="str">
        <f>VLOOKUP(B745,INSUMOS!$B$3:$E$310,3,FALSE)</f>
        <v>GLN</v>
      </c>
      <c r="H745" s="259">
        <f>VLOOKUP(B745,INSUMOS!$B$3:$E$310,4,FALSE)</f>
        <v>84900</v>
      </c>
      <c r="I745" s="260">
        <v>0.2240400471142521</v>
      </c>
      <c r="J745" s="348">
        <f>I745*H745</f>
        <v>19021.000000000004</v>
      </c>
    </row>
    <row r="746" spans="2:10" ht="15" x14ac:dyDescent="0.25">
      <c r="B746" s="262"/>
      <c r="C746" s="11"/>
      <c r="D746" s="10"/>
      <c r="E746" s="10"/>
      <c r="F746" s="9"/>
      <c r="G746" s="263"/>
      <c r="H746" s="264"/>
      <c r="I746" s="265"/>
      <c r="J746" s="324"/>
    </row>
    <row r="747" spans="2:10" ht="15" x14ac:dyDescent="0.25">
      <c r="B747" s="262"/>
      <c r="C747" s="11"/>
      <c r="D747" s="10"/>
      <c r="E747" s="10"/>
      <c r="F747" s="9"/>
      <c r="G747" s="263"/>
      <c r="H747" s="264"/>
      <c r="I747" s="265"/>
      <c r="J747" s="324"/>
    </row>
    <row r="748" spans="2:10" ht="15" x14ac:dyDescent="0.25">
      <c r="B748" s="262"/>
      <c r="C748" s="11"/>
      <c r="D748" s="10"/>
      <c r="E748" s="10"/>
      <c r="F748" s="9"/>
      <c r="G748" s="263"/>
      <c r="H748" s="264"/>
      <c r="I748" s="265"/>
      <c r="J748" s="324"/>
    </row>
    <row r="749" spans="2:10" ht="16.5" thickBot="1" x14ac:dyDescent="0.3">
      <c r="B749" s="266"/>
      <c r="C749" s="228"/>
      <c r="D749" s="228"/>
      <c r="E749" s="228"/>
      <c r="F749" s="228"/>
      <c r="G749" s="286"/>
      <c r="H749" s="287"/>
      <c r="I749" s="270" t="s">
        <v>1061</v>
      </c>
      <c r="J749" s="271">
        <f>+SUM(J745:J748)</f>
        <v>19021.000000000004</v>
      </c>
    </row>
    <row r="750" spans="2:10" ht="16.5" thickBot="1" x14ac:dyDescent="0.3">
      <c r="B750" s="349" t="s">
        <v>1068</v>
      </c>
      <c r="C750" s="290"/>
      <c r="D750" s="228"/>
      <c r="E750" s="228"/>
      <c r="F750" s="228"/>
      <c r="G750" s="228"/>
      <c r="H750" s="235"/>
      <c r="I750" s="291"/>
      <c r="J750" s="344"/>
    </row>
    <row r="751" spans="2:10" ht="16.5" thickBot="1" x14ac:dyDescent="0.3">
      <c r="B751" s="350" t="s">
        <v>43</v>
      </c>
      <c r="C751" s="8" t="s">
        <v>44</v>
      </c>
      <c r="D751" s="7"/>
      <c r="E751" s="6"/>
      <c r="F751" s="293"/>
      <c r="G751" s="331" t="s">
        <v>107</v>
      </c>
      <c r="H751" s="294" t="s">
        <v>108</v>
      </c>
      <c r="I751" s="294" t="s">
        <v>1069</v>
      </c>
      <c r="J751" s="351" t="s">
        <v>1060</v>
      </c>
    </row>
    <row r="752" spans="2:10" ht="15" x14ac:dyDescent="0.25">
      <c r="B752" s="257" t="s">
        <v>115</v>
      </c>
      <c r="C752" s="395" t="str">
        <f>VLOOKUP(B752,INSUMOS!$Q$4:$V$11,2,FALSE)</f>
        <v>Volqueta sencilla (6 M3)</v>
      </c>
      <c r="D752" s="396"/>
      <c r="E752" s="396"/>
      <c r="F752" s="397"/>
      <c r="G752" s="258" t="str">
        <f>VLOOKUP(B752,INSUMOS!$Q$4:$V$11,5,FALSE)</f>
        <v xml:space="preserve">6 M3 VJ </v>
      </c>
      <c r="H752" s="259">
        <f>VLOOKUP(B752,INSUMOS!$Q$4:$V$11,6,FALSE)</f>
        <v>120000</v>
      </c>
      <c r="I752" s="260">
        <f>1/(6*8)</f>
        <v>2.0833333333333332E-2</v>
      </c>
      <c r="J752" s="324">
        <f>+H752*I752</f>
        <v>2500</v>
      </c>
    </row>
    <row r="753" spans="2:12" ht="15" x14ac:dyDescent="0.25">
      <c r="B753" s="257"/>
      <c r="C753" s="11"/>
      <c r="D753" s="10"/>
      <c r="E753" s="10"/>
      <c r="F753" s="9"/>
      <c r="G753" s="258"/>
      <c r="H753" s="259"/>
      <c r="I753" s="260"/>
      <c r="J753" s="324"/>
    </row>
    <row r="754" spans="2:12" ht="15" x14ac:dyDescent="0.25">
      <c r="B754" s="257"/>
      <c r="C754" s="11"/>
      <c r="D754" s="10"/>
      <c r="E754" s="10"/>
      <c r="F754" s="9"/>
      <c r="G754" s="258"/>
      <c r="H754" s="259"/>
      <c r="I754" s="260"/>
      <c r="J754" s="324">
        <f>+G754*I754</f>
        <v>0</v>
      </c>
    </row>
    <row r="755" spans="2:12" ht="15" x14ac:dyDescent="0.25">
      <c r="B755" s="257"/>
      <c r="C755" s="11"/>
      <c r="D755" s="10"/>
      <c r="E755" s="10"/>
      <c r="F755" s="9"/>
      <c r="G755" s="258"/>
      <c r="H755" s="259"/>
      <c r="I755" s="260"/>
      <c r="J755" s="324">
        <f>+G755*I755</f>
        <v>0</v>
      </c>
    </row>
    <row r="756" spans="2:12" ht="15" x14ac:dyDescent="0.25">
      <c r="B756" s="262"/>
      <c r="C756" s="11"/>
      <c r="D756" s="10"/>
      <c r="E756" s="10"/>
      <c r="F756" s="9"/>
      <c r="G756" s="263"/>
      <c r="H756" s="264"/>
      <c r="I756" s="265"/>
      <c r="J756" s="261">
        <f>+G756*I756</f>
        <v>0</v>
      </c>
    </row>
    <row r="757" spans="2:12" ht="16.5" thickBot="1" x14ac:dyDescent="0.3">
      <c r="B757" s="266"/>
      <c r="C757" s="228"/>
      <c r="D757" s="228"/>
      <c r="E757" s="228"/>
      <c r="F757" s="228"/>
      <c r="G757" s="228"/>
      <c r="H757" s="235"/>
      <c r="I757" s="298" t="s">
        <v>1061</v>
      </c>
      <c r="J757" s="271">
        <f>ROUND((SUM(J752:J756)),2)</f>
        <v>2500</v>
      </c>
    </row>
    <row r="758" spans="2:12" ht="16.5" thickBot="1" x14ac:dyDescent="0.3">
      <c r="B758" s="349" t="s">
        <v>1070</v>
      </c>
      <c r="C758" s="290"/>
      <c r="D758" s="228"/>
      <c r="E758" s="228"/>
      <c r="F758" s="228"/>
      <c r="G758" s="228"/>
      <c r="H758" s="235"/>
      <c r="I758" s="291"/>
      <c r="J758" s="344"/>
    </row>
    <row r="759" spans="2:12" ht="16.5" thickBot="1" x14ac:dyDescent="0.3">
      <c r="B759" s="350" t="s">
        <v>43</v>
      </c>
      <c r="C759" s="8" t="s">
        <v>44</v>
      </c>
      <c r="D759" s="7"/>
      <c r="E759" s="6"/>
      <c r="F759" s="293"/>
      <c r="G759" s="294" t="s">
        <v>45</v>
      </c>
      <c r="H759" s="294" t="s">
        <v>109</v>
      </c>
      <c r="I759" s="294" t="s">
        <v>1059</v>
      </c>
      <c r="J759" s="351" t="s">
        <v>1060</v>
      </c>
    </row>
    <row r="760" spans="2:12" ht="15" x14ac:dyDescent="0.25">
      <c r="B760" s="257" t="s">
        <v>71</v>
      </c>
      <c r="C760" s="5" t="str">
        <f>VLOOKUP(B760,CUADRILLAS!$B$4:$G$19,2,)</f>
        <v>CUADRILLA I (Oficial + ayudante)</v>
      </c>
      <c r="D760" s="4"/>
      <c r="E760" s="4"/>
      <c r="F760" s="3"/>
      <c r="G760" s="259" t="str">
        <f>VLOOKUP(B760,CUADRILLAS!$B$4:$G$19,5,FALSE)</f>
        <v>H</v>
      </c>
      <c r="H760" s="296">
        <f>VLOOKUP(B760,CUADRILLAS!$B$4:$G$19,6,FALSE)</f>
        <v>63785.417685</v>
      </c>
      <c r="I760" s="260">
        <v>0.14902966629515504</v>
      </c>
      <c r="J760" s="352">
        <f>H760*I760</f>
        <v>9505.9195120926306</v>
      </c>
    </row>
    <row r="761" spans="2:12" ht="15" x14ac:dyDescent="0.25">
      <c r="B761" s="262"/>
      <c r="C761" s="2"/>
      <c r="D761" s="1"/>
      <c r="E761" s="1"/>
      <c r="F761" s="15"/>
      <c r="G761" s="263"/>
      <c r="H761" s="264"/>
      <c r="I761" s="265"/>
      <c r="J761" s="261"/>
    </row>
    <row r="762" spans="2:12" ht="15" x14ac:dyDescent="0.25">
      <c r="B762" s="262"/>
      <c r="C762" s="299"/>
      <c r="D762" s="300"/>
      <c r="E762" s="300"/>
      <c r="F762" s="301"/>
      <c r="G762" s="263"/>
      <c r="H762" s="264"/>
      <c r="I762" s="265"/>
      <c r="J762" s="261"/>
    </row>
    <row r="763" spans="2:12" ht="15" x14ac:dyDescent="0.25">
      <c r="B763" s="262"/>
      <c r="C763" s="299"/>
      <c r="D763" s="300"/>
      <c r="E763" s="300"/>
      <c r="F763" s="301"/>
      <c r="G763" s="263"/>
      <c r="H763" s="264"/>
      <c r="I763" s="265"/>
      <c r="J763" s="261"/>
    </row>
    <row r="764" spans="2:12" ht="15" x14ac:dyDescent="0.25">
      <c r="B764" s="262"/>
      <c r="C764" s="299"/>
      <c r="D764" s="300"/>
      <c r="E764" s="300"/>
      <c r="F764" s="301"/>
      <c r="G764" s="263"/>
      <c r="H764" s="264"/>
      <c r="I764" s="265"/>
      <c r="J764" s="261">
        <f>+H764*I764</f>
        <v>0</v>
      </c>
    </row>
    <row r="765" spans="2:12" ht="15.75" x14ac:dyDescent="0.25">
      <c r="B765" s="266"/>
      <c r="C765" s="228"/>
      <c r="D765" s="228"/>
      <c r="E765" s="228"/>
      <c r="F765" s="228"/>
      <c r="G765" s="286"/>
      <c r="H765" s="235"/>
      <c r="I765" s="302" t="s">
        <v>1061</v>
      </c>
      <c r="J765" s="353">
        <f>SUM(J760:J764)</f>
        <v>9505.9195120926306</v>
      </c>
    </row>
    <row r="766" spans="2:12" ht="15.75" thickBot="1" x14ac:dyDescent="0.3">
      <c r="B766" s="266"/>
      <c r="C766" s="228"/>
      <c r="D766" s="228"/>
      <c r="E766" s="228"/>
      <c r="F766" s="228"/>
      <c r="G766" s="286"/>
      <c r="H766" s="235"/>
      <c r="I766" s="236"/>
      <c r="J766" s="344"/>
    </row>
    <row r="767" spans="2:12" ht="16.5" thickBot="1" x14ac:dyDescent="0.3">
      <c r="B767" s="266"/>
      <c r="C767" s="228"/>
      <c r="D767" s="228"/>
      <c r="E767" s="228"/>
      <c r="F767" s="228"/>
      <c r="G767" s="14" t="s">
        <v>1071</v>
      </c>
      <c r="H767" s="13"/>
      <c r="I767" s="12"/>
      <c r="J767" s="354">
        <f>ROUND((SUM(J765+J757+J749+J742)),2)</f>
        <v>37041</v>
      </c>
      <c r="L767" s="95">
        <v>37041</v>
      </c>
    </row>
    <row r="768" spans="2:12" ht="16.5" thickBot="1" x14ac:dyDescent="0.3">
      <c r="B768" s="266"/>
      <c r="C768" s="228"/>
      <c r="D768" s="228"/>
      <c r="E768" s="228"/>
      <c r="F768" s="228"/>
      <c r="G768" s="394"/>
      <c r="H768" s="394"/>
      <c r="I768" s="305"/>
      <c r="J768" s="354"/>
    </row>
    <row r="769" spans="2:10" ht="16.5" thickBot="1" x14ac:dyDescent="0.3">
      <c r="B769" s="266"/>
      <c r="C769" s="228"/>
      <c r="D769" s="228"/>
      <c r="E769" s="228"/>
      <c r="F769" s="228"/>
      <c r="G769" s="14" t="s">
        <v>1072</v>
      </c>
      <c r="H769" s="13"/>
      <c r="I769" s="12"/>
      <c r="J769" s="355">
        <f>+J767+J768</f>
        <v>37041</v>
      </c>
    </row>
    <row r="770" spans="2:10" ht="14.25" thickBot="1" x14ac:dyDescent="0.3">
      <c r="B770" s="356"/>
      <c r="C770" s="357"/>
      <c r="D770" s="357"/>
      <c r="E770" s="357"/>
      <c r="F770" s="357"/>
      <c r="G770" s="357"/>
      <c r="H770" s="357"/>
      <c r="I770" s="357"/>
      <c r="J770" s="358"/>
    </row>
    <row r="771" spans="2:10" ht="14.25" thickBot="1" x14ac:dyDescent="0.3"/>
    <row r="772" spans="2:10" x14ac:dyDescent="0.25">
      <c r="B772" s="419"/>
      <c r="C772" s="420"/>
      <c r="D772" s="423" t="s">
        <v>1052</v>
      </c>
      <c r="E772" s="424"/>
      <c r="F772" s="424"/>
      <c r="G772" s="424"/>
      <c r="H772" s="425"/>
      <c r="I772" s="429"/>
      <c r="J772" s="430"/>
    </row>
    <row r="773" spans="2:10" ht="14.25" thickBot="1" x14ac:dyDescent="0.3">
      <c r="B773" s="421"/>
      <c r="C773" s="422"/>
      <c r="D773" s="426"/>
      <c r="E773" s="427"/>
      <c r="F773" s="427"/>
      <c r="G773" s="427"/>
      <c r="H773" s="428"/>
      <c r="I773" s="431"/>
      <c r="J773" s="432"/>
    </row>
    <row r="774" spans="2:10" ht="16.5" thickBot="1" x14ac:dyDescent="0.3">
      <c r="B774" s="337"/>
      <c r="C774" s="219"/>
      <c r="D774" s="219"/>
      <c r="E774" s="219"/>
      <c r="F774" s="219"/>
      <c r="G774" s="219"/>
      <c r="H774" s="219"/>
      <c r="I774" s="219"/>
      <c r="J774" s="338"/>
    </row>
    <row r="775" spans="2:10" ht="16.5" thickBot="1" x14ac:dyDescent="0.3">
      <c r="B775" s="433" t="s">
        <v>1053</v>
      </c>
      <c r="C775" s="434"/>
      <c r="D775" s="222"/>
      <c r="E775" s="223" t="s">
        <v>171</v>
      </c>
      <c r="F775" s="222">
        <v>30</v>
      </c>
      <c r="G775" s="222" t="s">
        <v>462</v>
      </c>
      <c r="H775" s="223">
        <v>4</v>
      </c>
      <c r="I775" s="224" t="s">
        <v>1054</v>
      </c>
      <c r="J775" s="225">
        <v>2026</v>
      </c>
    </row>
    <row r="776" spans="2:10" ht="15.75" thickBot="1" x14ac:dyDescent="0.3">
      <c r="B776" s="266"/>
      <c r="C776" s="228"/>
      <c r="D776" s="228"/>
      <c r="E776" s="228"/>
      <c r="F776" s="228"/>
      <c r="G776" s="228"/>
      <c r="H776" s="228"/>
      <c r="I776" s="228"/>
      <c r="J776" s="339"/>
    </row>
    <row r="777" spans="2:10" x14ac:dyDescent="0.25">
      <c r="B777" s="435" t="s">
        <v>1055</v>
      </c>
      <c r="C777" s="436"/>
      <c r="D777" s="441" t="s">
        <v>1110</v>
      </c>
      <c r="E777" s="442"/>
      <c r="F777" s="442"/>
      <c r="G777" s="442"/>
      <c r="H777" s="442"/>
      <c r="I777" s="442"/>
      <c r="J777" s="443"/>
    </row>
    <row r="778" spans="2:10" x14ac:dyDescent="0.25">
      <c r="B778" s="437"/>
      <c r="C778" s="438"/>
      <c r="D778" s="444"/>
      <c r="E778" s="445"/>
      <c r="F778" s="445"/>
      <c r="G778" s="445"/>
      <c r="H778" s="445"/>
      <c r="I778" s="445"/>
      <c r="J778" s="446"/>
    </row>
    <row r="779" spans="2:10" ht="14.25" thickBot="1" x14ac:dyDescent="0.3">
      <c r="B779" s="439"/>
      <c r="C779" s="440"/>
      <c r="D779" s="447"/>
      <c r="E779" s="448"/>
      <c r="F779" s="448"/>
      <c r="G779" s="448"/>
      <c r="H779" s="448"/>
      <c r="I779" s="448"/>
      <c r="J779" s="449"/>
    </row>
    <row r="780" spans="2:10" ht="16.5" thickBot="1" x14ac:dyDescent="0.3">
      <c r="B780" s="404"/>
      <c r="C780" s="405"/>
      <c r="D780" s="405"/>
      <c r="E780" s="405"/>
      <c r="F780" s="405"/>
      <c r="G780" s="405"/>
      <c r="H780" s="405"/>
      <c r="I780" s="405"/>
      <c r="J780" s="406"/>
    </row>
    <row r="781" spans="2:10" ht="16.5" thickBot="1" x14ac:dyDescent="0.3">
      <c r="B781" s="340" t="s">
        <v>1056</v>
      </c>
      <c r="C781" s="232">
        <v>4.0999999999999996</v>
      </c>
      <c r="D781" s="407" t="str">
        <f>'ppto oficial '!B25</f>
        <v>Pintura koraza sobre pañete tres manos incluye acronal y andamiado</v>
      </c>
      <c r="E781" s="408"/>
      <c r="F781" s="408"/>
      <c r="G781" s="408"/>
      <c r="H781" s="409"/>
      <c r="I781" s="232" t="s">
        <v>1057</v>
      </c>
      <c r="J781" s="341" t="str">
        <f>VLOOKUP(C781,'ppto oficial '!$A$5:$D$30,3,FALSE)</f>
        <v>m2</v>
      </c>
    </row>
    <row r="782" spans="2:10" ht="15.75" thickBot="1" x14ac:dyDescent="0.3">
      <c r="B782" s="266"/>
      <c r="C782" s="228"/>
      <c r="D782" s="228"/>
      <c r="E782" s="228"/>
      <c r="F782" s="228"/>
      <c r="G782" s="228"/>
      <c r="H782" s="235"/>
      <c r="I782" s="236"/>
      <c r="J782" s="342"/>
    </row>
    <row r="783" spans="2:10" ht="16.5" thickBot="1" x14ac:dyDescent="0.3">
      <c r="B783" s="343" t="s">
        <v>1058</v>
      </c>
      <c r="C783" s="239"/>
      <c r="D783" s="228"/>
      <c r="E783" s="228"/>
      <c r="F783" s="228"/>
      <c r="G783" s="228"/>
      <c r="H783" s="235"/>
      <c r="I783" s="236"/>
      <c r="J783" s="344"/>
    </row>
    <row r="784" spans="2:10" ht="16.5" thickBot="1" x14ac:dyDescent="0.3">
      <c r="B784" s="318" t="s">
        <v>43</v>
      </c>
      <c r="C784" s="410" t="s">
        <v>2</v>
      </c>
      <c r="D784" s="411"/>
      <c r="E784" s="412"/>
      <c r="F784" s="319"/>
      <c r="G784" s="320" t="s">
        <v>105</v>
      </c>
      <c r="H784" s="320" t="s">
        <v>106</v>
      </c>
      <c r="I784" s="320" t="s">
        <v>1059</v>
      </c>
      <c r="J784" s="321" t="s">
        <v>1060</v>
      </c>
    </row>
    <row r="785" spans="2:10" ht="15" x14ac:dyDescent="0.25">
      <c r="B785" s="257" t="s">
        <v>113</v>
      </c>
      <c r="C785" s="413" t="s">
        <v>114</v>
      </c>
      <c r="D785" s="414"/>
      <c r="E785" s="414"/>
      <c r="F785" s="415"/>
      <c r="G785" s="251" t="s">
        <v>1073</v>
      </c>
      <c r="H785" s="252">
        <f>+J808</f>
        <v>15337.45501470546</v>
      </c>
      <c r="I785" s="314">
        <v>0.05</v>
      </c>
      <c r="J785" s="345">
        <v>365.85710977962196</v>
      </c>
    </row>
    <row r="786" spans="2:10" ht="15" customHeight="1" x14ac:dyDescent="0.25">
      <c r="B786" s="262" t="s">
        <v>275</v>
      </c>
      <c r="C786" s="416" t="str">
        <f>VLOOKUP(B786,INSUMOS!$K$4:$N$135,2,FALSE)</f>
        <v>Compresor Neumático</v>
      </c>
      <c r="D786" s="417"/>
      <c r="E786" s="417"/>
      <c r="F786" s="418"/>
      <c r="G786" s="251" t="str">
        <f>VLOOKUP(B786,INSUMOS!$K$4:$N$135,3,FALSE)</f>
        <v>dia</v>
      </c>
      <c r="H786" s="252">
        <f>VLOOKUP(B786,INSUMOS!$K$4:$N$135,4,FALSE)</f>
        <v>291200</v>
      </c>
      <c r="I786" s="322">
        <v>0.01</v>
      </c>
      <c r="J786" s="323">
        <f>+H786*I786</f>
        <v>2912</v>
      </c>
    </row>
    <row r="787" spans="2:10" ht="15" x14ac:dyDescent="0.25">
      <c r="B787" s="262" t="s">
        <v>169</v>
      </c>
      <c r="C787" s="416" t="str">
        <f>VLOOKUP(B787,INSUMOS!$K$4:$N$135,2,FALSE)</f>
        <v xml:space="preserve">Andamio certificado x modulo </v>
      </c>
      <c r="D787" s="417"/>
      <c r="E787" s="417"/>
      <c r="F787" s="418"/>
      <c r="G787" s="251" t="str">
        <f>VLOOKUP(B787,INSUMOS!$K$4:$N$135,3,FALSE)</f>
        <v>DIA</v>
      </c>
      <c r="H787" s="252">
        <f>VLOOKUP(B787,INSUMOS!$K$4:$N$135,4,FALSE)</f>
        <v>12000</v>
      </c>
      <c r="I787" s="322">
        <f>+I808/8</f>
        <v>3.0056742534885581E-2</v>
      </c>
      <c r="J787" s="323">
        <f>+H787*I787</f>
        <v>360.68091041862698</v>
      </c>
    </row>
    <row r="788" spans="2:10" ht="15" x14ac:dyDescent="0.25">
      <c r="B788" s="262"/>
      <c r="C788" s="398"/>
      <c r="D788" s="399"/>
      <c r="E788" s="399"/>
      <c r="F788" s="400"/>
      <c r="G788" s="263"/>
      <c r="H788" s="264"/>
      <c r="I788" s="260"/>
      <c r="J788" s="261"/>
    </row>
    <row r="789" spans="2:10" ht="15" x14ac:dyDescent="0.25">
      <c r="B789" s="262"/>
      <c r="C789" s="11"/>
      <c r="D789" s="10"/>
      <c r="E789" s="10"/>
      <c r="F789" s="9"/>
      <c r="G789" s="263"/>
      <c r="H789" s="264"/>
      <c r="I789" s="265"/>
      <c r="J789" s="261"/>
    </row>
    <row r="790" spans="2:10" ht="16.5" thickBot="1" x14ac:dyDescent="0.3">
      <c r="B790" s="266"/>
      <c r="C790" s="228"/>
      <c r="D790" s="267"/>
      <c r="E790" s="267"/>
      <c r="F790" s="267"/>
      <c r="G790" s="268"/>
      <c r="H790" s="269"/>
      <c r="I790" s="270" t="s">
        <v>1061</v>
      </c>
      <c r="J790" s="271">
        <f>ROUND((SUM(J785:J789)),2)</f>
        <v>3638.54</v>
      </c>
    </row>
    <row r="791" spans="2:10" ht="16.5" thickBot="1" x14ac:dyDescent="0.3">
      <c r="B791" s="272" t="s">
        <v>1062</v>
      </c>
      <c r="C791" s="273"/>
      <c r="D791" s="274"/>
      <c r="E791" s="274"/>
      <c r="F791" s="274"/>
      <c r="G791" s="274"/>
      <c r="H791" s="275"/>
      <c r="I791" s="276"/>
      <c r="J791" s="277"/>
    </row>
    <row r="792" spans="2:10" ht="16.5" thickBot="1" x14ac:dyDescent="0.3">
      <c r="B792" s="346" t="s">
        <v>43</v>
      </c>
      <c r="C792" s="401" t="s">
        <v>44</v>
      </c>
      <c r="D792" s="402"/>
      <c r="E792" s="403"/>
      <c r="F792" s="279"/>
      <c r="G792" s="280" t="s">
        <v>45</v>
      </c>
      <c r="H792" s="280" t="s">
        <v>109</v>
      </c>
      <c r="I792" s="280" t="s">
        <v>4</v>
      </c>
      <c r="J792" s="347" t="s">
        <v>1060</v>
      </c>
    </row>
    <row r="793" spans="2:10" ht="15.75" x14ac:dyDescent="0.25">
      <c r="B793" s="257" t="s">
        <v>613</v>
      </c>
      <c r="C793" s="5" t="str">
        <f>VLOOKUP(B793,INSUMOS!$B$3:$E$310,2,FALSE)</f>
        <v>Pintura koraza</v>
      </c>
      <c r="D793" s="4"/>
      <c r="E793" s="4"/>
      <c r="F793" s="3"/>
      <c r="G793" s="258" t="str">
        <f>VLOOKUP(B793,INSUMOS!$B$3:$E$310,3,FALSE)</f>
        <v>GLN</v>
      </c>
      <c r="H793" s="259">
        <f>VLOOKUP(B793,INSUMOS!$B$3:$E$310,4,FALSE)</f>
        <v>106800</v>
      </c>
      <c r="I793" s="260">
        <v>0.15</v>
      </c>
      <c r="J793" s="348">
        <f>I793*H793</f>
        <v>16020</v>
      </c>
    </row>
    <row r="794" spans="2:10" ht="15" x14ac:dyDescent="0.25">
      <c r="B794" s="262"/>
      <c r="C794" s="11"/>
      <c r="D794" s="10"/>
      <c r="E794" s="10"/>
      <c r="F794" s="9"/>
      <c r="G794" s="263"/>
      <c r="H794" s="264"/>
      <c r="I794" s="265"/>
      <c r="J794" s="324"/>
    </row>
    <row r="795" spans="2:10" ht="15" x14ac:dyDescent="0.25">
      <c r="B795" s="262"/>
      <c r="C795" s="11"/>
      <c r="D795" s="10"/>
      <c r="E795" s="10"/>
      <c r="F795" s="9"/>
      <c r="G795" s="263"/>
      <c r="H795" s="264"/>
      <c r="I795" s="265"/>
      <c r="J795" s="324"/>
    </row>
    <row r="796" spans="2:10" ht="15" x14ac:dyDescent="0.25">
      <c r="B796" s="262"/>
      <c r="C796" s="11"/>
      <c r="D796" s="10"/>
      <c r="E796" s="10"/>
      <c r="F796" s="9"/>
      <c r="G796" s="263"/>
      <c r="H796" s="264"/>
      <c r="I796" s="265"/>
      <c r="J796" s="324"/>
    </row>
    <row r="797" spans="2:10" ht="16.5" thickBot="1" x14ac:dyDescent="0.3">
      <c r="B797" s="266"/>
      <c r="C797" s="228"/>
      <c r="D797" s="228"/>
      <c r="E797" s="228"/>
      <c r="F797" s="228"/>
      <c r="G797" s="286"/>
      <c r="H797" s="287"/>
      <c r="I797" s="270" t="s">
        <v>1061</v>
      </c>
      <c r="J797" s="271">
        <f>+SUM(J793:J796)</f>
        <v>16020</v>
      </c>
    </row>
    <row r="798" spans="2:10" ht="16.5" thickBot="1" x14ac:dyDescent="0.3">
      <c r="B798" s="349" t="s">
        <v>1068</v>
      </c>
      <c r="C798" s="290"/>
      <c r="D798" s="228"/>
      <c r="E798" s="228"/>
      <c r="F798" s="228"/>
      <c r="G798" s="228"/>
      <c r="H798" s="235"/>
      <c r="I798" s="291"/>
      <c r="J798" s="344"/>
    </row>
    <row r="799" spans="2:10" ht="16.5" thickBot="1" x14ac:dyDescent="0.3">
      <c r="B799" s="350" t="s">
        <v>43</v>
      </c>
      <c r="C799" s="8" t="s">
        <v>44</v>
      </c>
      <c r="D799" s="7"/>
      <c r="E799" s="6"/>
      <c r="F799" s="293"/>
      <c r="G799" s="331" t="s">
        <v>107</v>
      </c>
      <c r="H799" s="294" t="s">
        <v>108</v>
      </c>
      <c r="I799" s="294" t="s">
        <v>1069</v>
      </c>
      <c r="J799" s="351" t="s">
        <v>1060</v>
      </c>
    </row>
    <row r="800" spans="2:10" ht="15" x14ac:dyDescent="0.25">
      <c r="B800" s="257" t="s">
        <v>115</v>
      </c>
      <c r="C800" s="395" t="str">
        <f>VLOOKUP(B800,INSUMOS!$Q$4:$V$11,2,FALSE)</f>
        <v>Volqueta sencilla (6 M3)</v>
      </c>
      <c r="D800" s="396"/>
      <c r="E800" s="396"/>
      <c r="F800" s="397"/>
      <c r="G800" s="258" t="str">
        <f>VLOOKUP(B800,INSUMOS!$Q$4:$V$11,5,FALSE)</f>
        <v xml:space="preserve">6 M3 VJ </v>
      </c>
      <c r="H800" s="259">
        <f>VLOOKUP(B800,INSUMOS!$Q$4:$V$11,6,FALSE)</f>
        <v>120000</v>
      </c>
      <c r="I800" s="260">
        <v>0.01</v>
      </c>
      <c r="J800" s="324">
        <f>+H800*I800</f>
        <v>1200</v>
      </c>
    </row>
    <row r="801" spans="2:12" ht="15" x14ac:dyDescent="0.25">
      <c r="B801" s="257"/>
      <c r="C801" s="11"/>
      <c r="D801" s="10"/>
      <c r="E801" s="10"/>
      <c r="F801" s="9"/>
      <c r="G801" s="258"/>
      <c r="H801" s="259"/>
      <c r="I801" s="260"/>
      <c r="J801" s="324"/>
    </row>
    <row r="802" spans="2:12" ht="15" x14ac:dyDescent="0.25">
      <c r="B802" s="257"/>
      <c r="C802" s="11"/>
      <c r="D802" s="10"/>
      <c r="E802" s="10"/>
      <c r="F802" s="9"/>
      <c r="G802" s="258"/>
      <c r="H802" s="259"/>
      <c r="I802" s="260"/>
      <c r="J802" s="324">
        <f>+G802*I802</f>
        <v>0</v>
      </c>
    </row>
    <row r="803" spans="2:12" ht="15" x14ac:dyDescent="0.25">
      <c r="B803" s="257"/>
      <c r="C803" s="11"/>
      <c r="D803" s="10"/>
      <c r="E803" s="10"/>
      <c r="F803" s="9"/>
      <c r="G803" s="258"/>
      <c r="H803" s="259"/>
      <c r="I803" s="260"/>
      <c r="J803" s="324">
        <f>+G803*I803</f>
        <v>0</v>
      </c>
    </row>
    <row r="804" spans="2:12" ht="15" x14ac:dyDescent="0.25">
      <c r="B804" s="262"/>
      <c r="C804" s="11"/>
      <c r="D804" s="10"/>
      <c r="E804" s="10"/>
      <c r="F804" s="9"/>
      <c r="G804" s="263"/>
      <c r="H804" s="264"/>
      <c r="I804" s="265"/>
      <c r="J804" s="261">
        <f>+G804*I804</f>
        <v>0</v>
      </c>
    </row>
    <row r="805" spans="2:12" ht="16.5" thickBot="1" x14ac:dyDescent="0.3">
      <c r="B805" s="266"/>
      <c r="C805" s="228"/>
      <c r="D805" s="228"/>
      <c r="E805" s="228"/>
      <c r="F805" s="228"/>
      <c r="G805" s="228"/>
      <c r="H805" s="235"/>
      <c r="I805" s="298" t="s">
        <v>1061</v>
      </c>
      <c r="J805" s="271">
        <f>ROUND((SUM(J800:J804)),2)</f>
        <v>1200</v>
      </c>
    </row>
    <row r="806" spans="2:12" ht="16.5" thickBot="1" x14ac:dyDescent="0.3">
      <c r="B806" s="349" t="s">
        <v>1070</v>
      </c>
      <c r="C806" s="290"/>
      <c r="D806" s="228"/>
      <c r="E806" s="228"/>
      <c r="F806" s="228"/>
      <c r="G806" s="228"/>
      <c r="H806" s="235"/>
      <c r="I806" s="291"/>
      <c r="J806" s="344"/>
    </row>
    <row r="807" spans="2:12" ht="16.5" thickBot="1" x14ac:dyDescent="0.3">
      <c r="B807" s="350" t="s">
        <v>43</v>
      </c>
      <c r="C807" s="8" t="s">
        <v>44</v>
      </c>
      <c r="D807" s="7"/>
      <c r="E807" s="6"/>
      <c r="F807" s="293"/>
      <c r="G807" s="294" t="s">
        <v>45</v>
      </c>
      <c r="H807" s="294" t="s">
        <v>109</v>
      </c>
      <c r="I807" s="294" t="s">
        <v>1059</v>
      </c>
      <c r="J807" s="351" t="s">
        <v>1060</v>
      </c>
    </row>
    <row r="808" spans="2:12" ht="15" x14ac:dyDescent="0.25">
      <c r="B808" s="257" t="s">
        <v>71</v>
      </c>
      <c r="C808" s="5" t="str">
        <f>VLOOKUP(B808,CUADRILLAS!$B$4:$G$19,2,)</f>
        <v>CUADRILLA I (Oficial + ayudante)</v>
      </c>
      <c r="D808" s="4"/>
      <c r="E808" s="4"/>
      <c r="F808" s="3"/>
      <c r="G808" s="259" t="str">
        <f>VLOOKUP(B808,CUADRILLAS!$B$4:$G$19,5,FALSE)</f>
        <v>H</v>
      </c>
      <c r="H808" s="296">
        <f>VLOOKUP(B808,CUADRILLAS!$B$4:$G$19,6,FALSE)</f>
        <v>63785.417685</v>
      </c>
      <c r="I808" s="260">
        <v>0.24045394027908465</v>
      </c>
      <c r="J808" s="352">
        <f>H808*I808</f>
        <v>15337.45501470546</v>
      </c>
    </row>
    <row r="809" spans="2:12" ht="15" x14ac:dyDescent="0.25">
      <c r="B809" s="262"/>
      <c r="C809" s="2"/>
      <c r="D809" s="1"/>
      <c r="E809" s="1"/>
      <c r="F809" s="15"/>
      <c r="G809" s="263"/>
      <c r="H809" s="264"/>
      <c r="I809" s="265"/>
      <c r="J809" s="261"/>
    </row>
    <row r="810" spans="2:12" ht="15" x14ac:dyDescent="0.25">
      <c r="B810" s="262"/>
      <c r="C810" s="299"/>
      <c r="D810" s="300"/>
      <c r="E810" s="300"/>
      <c r="F810" s="301"/>
      <c r="G810" s="263"/>
      <c r="H810" s="264"/>
      <c r="I810" s="265"/>
      <c r="J810" s="261"/>
    </row>
    <row r="811" spans="2:12" ht="15" x14ac:dyDescent="0.25">
      <c r="B811" s="262"/>
      <c r="C811" s="299"/>
      <c r="D811" s="300"/>
      <c r="E811" s="300"/>
      <c r="F811" s="301"/>
      <c r="G811" s="263"/>
      <c r="H811" s="264"/>
      <c r="I811" s="265"/>
      <c r="J811" s="261"/>
    </row>
    <row r="812" spans="2:12" ht="15" x14ac:dyDescent="0.25">
      <c r="B812" s="262"/>
      <c r="C812" s="299"/>
      <c r="D812" s="300"/>
      <c r="E812" s="300"/>
      <c r="F812" s="301"/>
      <c r="G812" s="263"/>
      <c r="H812" s="264"/>
      <c r="I812" s="265"/>
      <c r="J812" s="261">
        <f>+H812*I812</f>
        <v>0</v>
      </c>
    </row>
    <row r="813" spans="2:12" ht="15.75" x14ac:dyDescent="0.25">
      <c r="B813" s="266"/>
      <c r="C813" s="228"/>
      <c r="D813" s="228"/>
      <c r="E813" s="228"/>
      <c r="F813" s="228"/>
      <c r="G813" s="286"/>
      <c r="H813" s="235"/>
      <c r="I813" s="302" t="s">
        <v>1061</v>
      </c>
      <c r="J813" s="353">
        <f>SUM(J808:J812)</f>
        <v>15337.45501470546</v>
      </c>
    </row>
    <row r="814" spans="2:12" ht="15.75" thickBot="1" x14ac:dyDescent="0.3">
      <c r="B814" s="266"/>
      <c r="C814" s="228"/>
      <c r="D814" s="228"/>
      <c r="E814" s="228"/>
      <c r="F814" s="228"/>
      <c r="G814" s="286"/>
      <c r="H814" s="235"/>
      <c r="I814" s="236"/>
      <c r="J814" s="344"/>
    </row>
    <row r="815" spans="2:12" ht="16.5" thickBot="1" x14ac:dyDescent="0.3">
      <c r="B815" s="266"/>
      <c r="C815" s="228"/>
      <c r="D815" s="228"/>
      <c r="E815" s="228"/>
      <c r="F815" s="228"/>
      <c r="G815" s="14" t="s">
        <v>1071</v>
      </c>
      <c r="H815" s="13"/>
      <c r="I815" s="12"/>
      <c r="J815" s="354">
        <f>ROUND((SUM(J813+J805+J797+J790)),2)</f>
        <v>36196</v>
      </c>
      <c r="L815" s="95">
        <v>36196</v>
      </c>
    </row>
    <row r="816" spans="2:12" ht="16.5" thickBot="1" x14ac:dyDescent="0.3">
      <c r="B816" s="266"/>
      <c r="C816" s="228"/>
      <c r="D816" s="228"/>
      <c r="E816" s="228"/>
      <c r="F816" s="228"/>
      <c r="G816" s="394"/>
      <c r="H816" s="394"/>
      <c r="I816" s="305"/>
      <c r="J816" s="354"/>
    </row>
    <row r="817" spans="2:10" ht="16.5" thickBot="1" x14ac:dyDescent="0.3">
      <c r="B817" s="266"/>
      <c r="C817" s="228"/>
      <c r="D817" s="228"/>
      <c r="E817" s="228"/>
      <c r="F817" s="228"/>
      <c r="G817" s="14" t="s">
        <v>1072</v>
      </c>
      <c r="H817" s="13"/>
      <c r="I817" s="12"/>
      <c r="J817" s="355">
        <f>+J815+J816</f>
        <v>36196</v>
      </c>
    </row>
    <row r="818" spans="2:10" ht="14.25" thickBot="1" x14ac:dyDescent="0.3">
      <c r="B818" s="356"/>
      <c r="C818" s="357"/>
      <c r="D818" s="357"/>
      <c r="E818" s="357"/>
      <c r="F818" s="357"/>
      <c r="G818" s="357"/>
      <c r="H818" s="357"/>
      <c r="I818" s="357"/>
      <c r="J818" s="358"/>
    </row>
    <row r="819" spans="2:10" ht="14.25" thickBot="1" x14ac:dyDescent="0.3"/>
    <row r="820" spans="2:10" x14ac:dyDescent="0.25">
      <c r="B820" s="419"/>
      <c r="C820" s="420"/>
      <c r="D820" s="423" t="s">
        <v>1052</v>
      </c>
      <c r="E820" s="424"/>
      <c r="F820" s="424"/>
      <c r="G820" s="424"/>
      <c r="H820" s="425"/>
      <c r="I820" s="429"/>
      <c r="J820" s="430"/>
    </row>
    <row r="821" spans="2:10" ht="14.25" thickBot="1" x14ac:dyDescent="0.3">
      <c r="B821" s="421"/>
      <c r="C821" s="422"/>
      <c r="D821" s="426"/>
      <c r="E821" s="427"/>
      <c r="F821" s="427"/>
      <c r="G821" s="427"/>
      <c r="H821" s="428"/>
      <c r="I821" s="431"/>
      <c r="J821" s="432"/>
    </row>
    <row r="822" spans="2:10" ht="16.5" thickBot="1" x14ac:dyDescent="0.3">
      <c r="B822" s="337"/>
      <c r="C822" s="219"/>
      <c r="D822" s="219"/>
      <c r="E822" s="219"/>
      <c r="F822" s="219"/>
      <c r="G822" s="219"/>
      <c r="H822" s="219"/>
      <c r="I822" s="219"/>
      <c r="J822" s="338"/>
    </row>
    <row r="823" spans="2:10" ht="16.5" thickBot="1" x14ac:dyDescent="0.3">
      <c r="B823" s="433" t="s">
        <v>1053</v>
      </c>
      <c r="C823" s="434"/>
      <c r="D823" s="222"/>
      <c r="E823" s="223" t="s">
        <v>171</v>
      </c>
      <c r="F823" s="222">
        <v>30</v>
      </c>
      <c r="G823" s="222" t="s">
        <v>462</v>
      </c>
      <c r="H823" s="223">
        <v>4</v>
      </c>
      <c r="I823" s="224" t="s">
        <v>1054</v>
      </c>
      <c r="J823" s="225">
        <v>2026</v>
      </c>
    </row>
    <row r="824" spans="2:10" ht="15.75" thickBot="1" x14ac:dyDescent="0.3">
      <c r="B824" s="266"/>
      <c r="C824" s="228"/>
      <c r="D824" s="228"/>
      <c r="E824" s="228"/>
      <c r="F824" s="228"/>
      <c r="G824" s="228"/>
      <c r="H824" s="228"/>
      <c r="I824" s="228"/>
      <c r="J824" s="339"/>
    </row>
    <row r="825" spans="2:10" x14ac:dyDescent="0.25">
      <c r="B825" s="435" t="s">
        <v>1055</v>
      </c>
      <c r="C825" s="436"/>
      <c r="D825" s="441" t="s">
        <v>1110</v>
      </c>
      <c r="E825" s="442"/>
      <c r="F825" s="442"/>
      <c r="G825" s="442"/>
      <c r="H825" s="442"/>
      <c r="I825" s="442"/>
      <c r="J825" s="443"/>
    </row>
    <row r="826" spans="2:10" x14ac:dyDescent="0.25">
      <c r="B826" s="437"/>
      <c r="C826" s="438"/>
      <c r="D826" s="444"/>
      <c r="E826" s="445"/>
      <c r="F826" s="445"/>
      <c r="G826" s="445"/>
      <c r="H826" s="445"/>
      <c r="I826" s="445"/>
      <c r="J826" s="446"/>
    </row>
    <row r="827" spans="2:10" ht="14.25" thickBot="1" x14ac:dyDescent="0.3">
      <c r="B827" s="439"/>
      <c r="C827" s="440"/>
      <c r="D827" s="447"/>
      <c r="E827" s="448"/>
      <c r="F827" s="448"/>
      <c r="G827" s="448"/>
      <c r="H827" s="448"/>
      <c r="I827" s="448"/>
      <c r="J827" s="449"/>
    </row>
    <row r="828" spans="2:10" ht="16.5" thickBot="1" x14ac:dyDescent="0.3">
      <c r="B828" s="404"/>
      <c r="C828" s="405"/>
      <c r="D828" s="405"/>
      <c r="E828" s="405"/>
      <c r="F828" s="405"/>
      <c r="G828" s="405"/>
      <c r="H828" s="405"/>
      <c r="I828" s="405"/>
      <c r="J828" s="406"/>
    </row>
    <row r="829" spans="2:10" ht="16.5" thickBot="1" x14ac:dyDescent="0.3">
      <c r="B829" s="340" t="s">
        <v>1056</v>
      </c>
      <c r="C829" s="232">
        <v>4.2</v>
      </c>
      <c r="D829" s="407" t="str">
        <f>'ppto oficial '!B26</f>
        <v xml:space="preserve">Pañete impermeabilizado 2 cm de espesor </v>
      </c>
      <c r="E829" s="408"/>
      <c r="F829" s="408"/>
      <c r="G829" s="408"/>
      <c r="H829" s="409"/>
      <c r="I829" s="232" t="s">
        <v>1057</v>
      </c>
      <c r="J829" s="341" t="str">
        <f>VLOOKUP(C829,'ppto oficial '!$A$5:$D$30,3,FALSE)</f>
        <v>m2</v>
      </c>
    </row>
    <row r="830" spans="2:10" ht="15.75" thickBot="1" x14ac:dyDescent="0.3">
      <c r="B830" s="266"/>
      <c r="C830" s="228"/>
      <c r="D830" s="228"/>
      <c r="E830" s="228"/>
      <c r="F830" s="228"/>
      <c r="G830" s="228"/>
      <c r="H830" s="235"/>
      <c r="I830" s="236"/>
      <c r="J830" s="342"/>
    </row>
    <row r="831" spans="2:10" ht="16.5" thickBot="1" x14ac:dyDescent="0.3">
      <c r="B831" s="343" t="s">
        <v>1058</v>
      </c>
      <c r="C831" s="239"/>
      <c r="D831" s="228"/>
      <c r="E831" s="228"/>
      <c r="F831" s="228"/>
      <c r="G831" s="228"/>
      <c r="H831" s="235"/>
      <c r="I831" s="236"/>
      <c r="J831" s="344"/>
    </row>
    <row r="832" spans="2:10" ht="16.5" thickBot="1" x14ac:dyDescent="0.3">
      <c r="B832" s="318" t="s">
        <v>43</v>
      </c>
      <c r="C832" s="410" t="s">
        <v>2</v>
      </c>
      <c r="D832" s="411"/>
      <c r="E832" s="412"/>
      <c r="F832" s="319"/>
      <c r="G832" s="320" t="s">
        <v>105</v>
      </c>
      <c r="H832" s="320" t="s">
        <v>106</v>
      </c>
      <c r="I832" s="320" t="s">
        <v>1059</v>
      </c>
      <c r="J832" s="321" t="s">
        <v>1060</v>
      </c>
    </row>
    <row r="833" spans="2:10" ht="15" x14ac:dyDescent="0.25">
      <c r="B833" s="257" t="s">
        <v>113</v>
      </c>
      <c r="C833" s="413" t="s">
        <v>114</v>
      </c>
      <c r="D833" s="414"/>
      <c r="E833" s="414"/>
      <c r="F833" s="415"/>
      <c r="G833" s="251" t="s">
        <v>1073</v>
      </c>
      <c r="H833" s="252">
        <f>+J855</f>
        <v>9561.3024976232755</v>
      </c>
      <c r="I833" s="314">
        <v>0.05</v>
      </c>
      <c r="J833" s="345">
        <v>365.85710977962196</v>
      </c>
    </row>
    <row r="834" spans="2:10" ht="15" x14ac:dyDescent="0.25">
      <c r="B834" s="262" t="s">
        <v>169</v>
      </c>
      <c r="C834" s="416" t="str">
        <f>VLOOKUP(B834,INSUMOS!$K$4:$N$135,2,FALSE)</f>
        <v xml:space="preserve">Andamio certificado x modulo </v>
      </c>
      <c r="D834" s="417"/>
      <c r="E834" s="417"/>
      <c r="F834" s="418"/>
      <c r="G834" s="251" t="str">
        <f>VLOOKUP(B834,INSUMOS!$K$4:$N$135,3,FALSE)</f>
        <v>DIA</v>
      </c>
      <c r="H834" s="252">
        <f>VLOOKUP(B834,INSUMOS!$K$4:$N$135,4,FALSE)</f>
        <v>12000</v>
      </c>
      <c r="I834" s="322">
        <f>+I855/8</f>
        <v>1.87372420778859E-2</v>
      </c>
      <c r="J834" s="323">
        <f>+H834*I834</f>
        <v>224.8469049346308</v>
      </c>
    </row>
    <row r="835" spans="2:10" ht="15" x14ac:dyDescent="0.25">
      <c r="B835" s="262"/>
      <c r="C835" s="398"/>
      <c r="D835" s="399"/>
      <c r="E835" s="399"/>
      <c r="F835" s="400"/>
      <c r="G835" s="263"/>
      <c r="H835" s="264"/>
      <c r="I835" s="260"/>
      <c r="J835" s="261"/>
    </row>
    <row r="836" spans="2:10" ht="15" x14ac:dyDescent="0.25">
      <c r="B836" s="262"/>
      <c r="C836" s="11"/>
      <c r="D836" s="10"/>
      <c r="E836" s="10"/>
      <c r="F836" s="9"/>
      <c r="G836" s="263"/>
      <c r="H836" s="264"/>
      <c r="I836" s="265"/>
      <c r="J836" s="261"/>
    </row>
    <row r="837" spans="2:10" ht="16.5" thickBot="1" x14ac:dyDescent="0.3">
      <c r="B837" s="266"/>
      <c r="C837" s="228"/>
      <c r="D837" s="267"/>
      <c r="E837" s="267"/>
      <c r="F837" s="267"/>
      <c r="G837" s="268"/>
      <c r="H837" s="269"/>
      <c r="I837" s="270" t="s">
        <v>1061</v>
      </c>
      <c r="J837" s="271">
        <f>ROUND((SUM(J833:J836)),2)</f>
        <v>590.70000000000005</v>
      </c>
    </row>
    <row r="838" spans="2:10" ht="16.5" thickBot="1" x14ac:dyDescent="0.3">
      <c r="B838" s="272" t="s">
        <v>1062</v>
      </c>
      <c r="C838" s="273"/>
      <c r="D838" s="274"/>
      <c r="E838" s="274"/>
      <c r="F838" s="274"/>
      <c r="G838" s="274"/>
      <c r="H838" s="275"/>
      <c r="I838" s="276"/>
      <c r="J838" s="277"/>
    </row>
    <row r="839" spans="2:10" ht="16.5" thickBot="1" x14ac:dyDescent="0.3">
      <c r="B839" s="346" t="s">
        <v>43</v>
      </c>
      <c r="C839" s="401" t="s">
        <v>44</v>
      </c>
      <c r="D839" s="402"/>
      <c r="E839" s="403"/>
      <c r="F839" s="279"/>
      <c r="G839" s="280" t="s">
        <v>45</v>
      </c>
      <c r="H839" s="280" t="s">
        <v>109</v>
      </c>
      <c r="I839" s="280" t="s">
        <v>4</v>
      </c>
      <c r="J839" s="347" t="s">
        <v>1060</v>
      </c>
    </row>
    <row r="840" spans="2:10" ht="16.5" thickBot="1" x14ac:dyDescent="0.3">
      <c r="B840" s="257" t="s">
        <v>967</v>
      </c>
      <c r="C840" s="5" t="str">
        <f>VLOOKUP(B840,INSUMOS!$B$3:$E$310,2,FALSE)</f>
        <v>Impermeabilizante Sika plastocrete</v>
      </c>
      <c r="D840" s="4"/>
      <c r="E840" s="4"/>
      <c r="F840" s="3"/>
      <c r="G840" s="258" t="str">
        <f>VLOOKUP(B840,INSUMOS!$B$3:$E$310,3,FALSE)</f>
        <v>KG</v>
      </c>
      <c r="H840" s="259">
        <f>VLOOKUP(B840,INSUMOS!$B$3:$E$310,4,FALSE)</f>
        <v>22945</v>
      </c>
      <c r="I840" s="260">
        <v>0.4</v>
      </c>
      <c r="J840" s="348">
        <f>I840*H840</f>
        <v>9178</v>
      </c>
    </row>
    <row r="841" spans="2:10" ht="15.75" x14ac:dyDescent="0.25">
      <c r="B841" s="262"/>
      <c r="C841" s="5" t="s">
        <v>1090</v>
      </c>
      <c r="D841" s="4"/>
      <c r="E841" s="4"/>
      <c r="F841" s="3"/>
      <c r="G841" s="258" t="s">
        <v>1086</v>
      </c>
      <c r="H841" s="259">
        <v>650000</v>
      </c>
      <c r="I841" s="260">
        <v>0.03</v>
      </c>
      <c r="J841" s="348">
        <f>I841*H841</f>
        <v>19500</v>
      </c>
    </row>
    <row r="842" spans="2:10" ht="15" x14ac:dyDescent="0.25">
      <c r="B842" s="262"/>
      <c r="C842" s="11"/>
      <c r="D842" s="10"/>
      <c r="E842" s="10"/>
      <c r="F842" s="9"/>
      <c r="G842" s="263"/>
      <c r="H842" s="264"/>
      <c r="I842" s="265"/>
      <c r="J842" s="324"/>
    </row>
    <row r="843" spans="2:10" ht="15" x14ac:dyDescent="0.25">
      <c r="B843" s="262"/>
      <c r="C843" s="11"/>
      <c r="D843" s="10"/>
      <c r="E843" s="10"/>
      <c r="F843" s="9"/>
      <c r="G843" s="263"/>
      <c r="H843" s="264"/>
      <c r="I843" s="265"/>
      <c r="J843" s="324"/>
    </row>
    <row r="844" spans="2:10" ht="16.5" thickBot="1" x14ac:dyDescent="0.3">
      <c r="B844" s="266"/>
      <c r="C844" s="228"/>
      <c r="D844" s="228"/>
      <c r="E844" s="228"/>
      <c r="F844" s="228"/>
      <c r="G844" s="286"/>
      <c r="H844" s="287"/>
      <c r="I844" s="270" t="s">
        <v>1061</v>
      </c>
      <c r="J844" s="271">
        <f>+SUM(J840:J843)</f>
        <v>28678</v>
      </c>
    </row>
    <row r="845" spans="2:10" ht="16.5" thickBot="1" x14ac:dyDescent="0.3">
      <c r="B845" s="349" t="s">
        <v>1068</v>
      </c>
      <c r="C845" s="290"/>
      <c r="D845" s="228"/>
      <c r="E845" s="228"/>
      <c r="F845" s="228"/>
      <c r="G845" s="228"/>
      <c r="H845" s="235"/>
      <c r="I845" s="291"/>
      <c r="J845" s="344"/>
    </row>
    <row r="846" spans="2:10" ht="16.5" thickBot="1" x14ac:dyDescent="0.3">
      <c r="B846" s="350" t="s">
        <v>43</v>
      </c>
      <c r="C846" s="8" t="s">
        <v>44</v>
      </c>
      <c r="D846" s="7"/>
      <c r="E846" s="6"/>
      <c r="F846" s="293"/>
      <c r="G846" s="331" t="s">
        <v>107</v>
      </c>
      <c r="H846" s="294" t="s">
        <v>108</v>
      </c>
      <c r="I846" s="294" t="s">
        <v>1069</v>
      </c>
      <c r="J846" s="351" t="s">
        <v>1060</v>
      </c>
    </row>
    <row r="847" spans="2:10" ht="15" x14ac:dyDescent="0.25">
      <c r="B847" s="257" t="s">
        <v>115</v>
      </c>
      <c r="C847" s="395" t="str">
        <f>VLOOKUP(B847,INSUMOS!$Q$4:$V$11,2,FALSE)</f>
        <v>Volqueta sencilla (6 M3)</v>
      </c>
      <c r="D847" s="396"/>
      <c r="E847" s="396"/>
      <c r="F847" s="397"/>
      <c r="G847" s="258" t="str">
        <f>VLOOKUP(B847,INSUMOS!$Q$4:$V$11,5,FALSE)</f>
        <v xml:space="preserve">6 M3 VJ </v>
      </c>
      <c r="H847" s="259">
        <f>VLOOKUP(B847,INSUMOS!$Q$4:$V$11,6,FALSE)</f>
        <v>120000</v>
      </c>
      <c r="I847" s="260">
        <v>0.01</v>
      </c>
      <c r="J847" s="324">
        <f>+H847*I847</f>
        <v>1200</v>
      </c>
    </row>
    <row r="848" spans="2:10" ht="15" x14ac:dyDescent="0.25">
      <c r="B848" s="257"/>
      <c r="C848" s="11"/>
      <c r="D848" s="10"/>
      <c r="E848" s="10"/>
      <c r="F848" s="9"/>
      <c r="G848" s="258"/>
      <c r="H848" s="259"/>
      <c r="I848" s="260"/>
      <c r="J848" s="324"/>
    </row>
    <row r="849" spans="2:12" ht="15" x14ac:dyDescent="0.25">
      <c r="B849" s="257"/>
      <c r="C849" s="11"/>
      <c r="D849" s="10"/>
      <c r="E849" s="10"/>
      <c r="F849" s="9"/>
      <c r="G849" s="258"/>
      <c r="H849" s="259"/>
      <c r="I849" s="260"/>
      <c r="J849" s="324">
        <f>+G849*I849</f>
        <v>0</v>
      </c>
    </row>
    <row r="850" spans="2:12" ht="15" x14ac:dyDescent="0.25">
      <c r="B850" s="257"/>
      <c r="C850" s="11"/>
      <c r="D850" s="10"/>
      <c r="E850" s="10"/>
      <c r="F850" s="9"/>
      <c r="G850" s="258"/>
      <c r="H850" s="259"/>
      <c r="I850" s="260"/>
      <c r="J850" s="324">
        <f>+G850*I850</f>
        <v>0</v>
      </c>
    </row>
    <row r="851" spans="2:12" ht="15" x14ac:dyDescent="0.25">
      <c r="B851" s="262"/>
      <c r="C851" s="11"/>
      <c r="D851" s="10"/>
      <c r="E851" s="10"/>
      <c r="F851" s="9"/>
      <c r="G851" s="263"/>
      <c r="H851" s="264"/>
      <c r="I851" s="265"/>
      <c r="J851" s="261">
        <f>+G851*I851</f>
        <v>0</v>
      </c>
    </row>
    <row r="852" spans="2:12" ht="16.5" thickBot="1" x14ac:dyDescent="0.3">
      <c r="B852" s="266"/>
      <c r="C852" s="228"/>
      <c r="D852" s="228"/>
      <c r="E852" s="228"/>
      <c r="F852" s="228"/>
      <c r="G852" s="228"/>
      <c r="H852" s="235"/>
      <c r="I852" s="298" t="s">
        <v>1061</v>
      </c>
      <c r="J852" s="271">
        <f>ROUND((SUM(J847:J851)),2)</f>
        <v>1200</v>
      </c>
    </row>
    <row r="853" spans="2:12" ht="16.5" thickBot="1" x14ac:dyDescent="0.3">
      <c r="B853" s="349" t="s">
        <v>1070</v>
      </c>
      <c r="C853" s="290"/>
      <c r="D853" s="228"/>
      <c r="E853" s="228"/>
      <c r="F853" s="228"/>
      <c r="G853" s="228"/>
      <c r="H853" s="235"/>
      <c r="I853" s="291"/>
      <c r="J853" s="344"/>
    </row>
    <row r="854" spans="2:12" ht="16.5" thickBot="1" x14ac:dyDescent="0.3">
      <c r="B854" s="350" t="s">
        <v>43</v>
      </c>
      <c r="C854" s="8" t="s">
        <v>44</v>
      </c>
      <c r="D854" s="7"/>
      <c r="E854" s="6"/>
      <c r="F854" s="293"/>
      <c r="G854" s="294" t="s">
        <v>45</v>
      </c>
      <c r="H854" s="294" t="s">
        <v>109</v>
      </c>
      <c r="I854" s="294" t="s">
        <v>1059</v>
      </c>
      <c r="J854" s="351" t="s">
        <v>1060</v>
      </c>
    </row>
    <row r="855" spans="2:12" ht="15" x14ac:dyDescent="0.25">
      <c r="B855" s="257" t="s">
        <v>71</v>
      </c>
      <c r="C855" s="5" t="str">
        <f>VLOOKUP(B855,CUADRILLAS!$B$4:$G$19,2,)</f>
        <v>CUADRILLA I (Oficial + ayudante)</v>
      </c>
      <c r="D855" s="4"/>
      <c r="E855" s="4"/>
      <c r="F855" s="3"/>
      <c r="G855" s="259" t="str">
        <f>VLOOKUP(B855,CUADRILLAS!$B$4:$G$19,5,FALSE)</f>
        <v>H</v>
      </c>
      <c r="H855" s="296">
        <f>VLOOKUP(B855,CUADRILLAS!$B$4:$G$19,6,FALSE)</f>
        <v>63785.417685</v>
      </c>
      <c r="I855" s="260">
        <v>0.1498979366230872</v>
      </c>
      <c r="J855" s="352">
        <f>H855*I855</f>
        <v>9561.3024976232755</v>
      </c>
    </row>
    <row r="856" spans="2:12" ht="15" x14ac:dyDescent="0.25">
      <c r="B856" s="262"/>
      <c r="C856" s="2"/>
      <c r="D856" s="1"/>
      <c r="E856" s="1"/>
      <c r="F856" s="15"/>
      <c r="G856" s="263"/>
      <c r="H856" s="264"/>
      <c r="I856" s="265"/>
      <c r="J856" s="261"/>
    </row>
    <row r="857" spans="2:12" ht="15" x14ac:dyDescent="0.25">
      <c r="B857" s="262"/>
      <c r="C857" s="299"/>
      <c r="D857" s="300"/>
      <c r="E857" s="300"/>
      <c r="F857" s="301"/>
      <c r="G857" s="263"/>
      <c r="H857" s="264"/>
      <c r="I857" s="265"/>
      <c r="J857" s="261"/>
    </row>
    <row r="858" spans="2:12" ht="15" x14ac:dyDescent="0.25">
      <c r="B858" s="262"/>
      <c r="C858" s="299"/>
      <c r="D858" s="300"/>
      <c r="E858" s="300"/>
      <c r="F858" s="301"/>
      <c r="G858" s="263"/>
      <c r="H858" s="264"/>
      <c r="I858" s="265"/>
      <c r="J858" s="261"/>
    </row>
    <row r="859" spans="2:12" ht="15" x14ac:dyDescent="0.25">
      <c r="B859" s="262"/>
      <c r="C859" s="299"/>
      <c r="D859" s="300"/>
      <c r="E859" s="300"/>
      <c r="F859" s="301"/>
      <c r="G859" s="263"/>
      <c r="H859" s="264"/>
      <c r="I859" s="265"/>
      <c r="J859" s="261">
        <f>+H859*I859</f>
        <v>0</v>
      </c>
    </row>
    <row r="860" spans="2:12" ht="15.75" x14ac:dyDescent="0.25">
      <c r="B860" s="266"/>
      <c r="C860" s="228"/>
      <c r="D860" s="228"/>
      <c r="E860" s="228"/>
      <c r="F860" s="228"/>
      <c r="G860" s="286"/>
      <c r="H860" s="235"/>
      <c r="I860" s="302" t="s">
        <v>1061</v>
      </c>
      <c r="J860" s="353">
        <f>SUM(J855:J859)</f>
        <v>9561.3024976232755</v>
      </c>
    </row>
    <row r="861" spans="2:12" ht="15.75" thickBot="1" x14ac:dyDescent="0.3">
      <c r="B861" s="266"/>
      <c r="C861" s="228"/>
      <c r="D861" s="228"/>
      <c r="E861" s="228"/>
      <c r="F861" s="228"/>
      <c r="G861" s="286"/>
      <c r="H861" s="235"/>
      <c r="I861" s="236"/>
      <c r="J861" s="344"/>
    </row>
    <row r="862" spans="2:12" ht="16.5" thickBot="1" x14ac:dyDescent="0.3">
      <c r="B862" s="266"/>
      <c r="C862" s="228"/>
      <c r="D862" s="228"/>
      <c r="E862" s="228"/>
      <c r="F862" s="228"/>
      <c r="G862" s="14" t="s">
        <v>1071</v>
      </c>
      <c r="H862" s="13"/>
      <c r="I862" s="12"/>
      <c r="J862" s="354">
        <f>ROUND((SUM(J860+J852+J844+J837)),2)</f>
        <v>40030</v>
      </c>
      <c r="L862" s="95">
        <v>40030</v>
      </c>
    </row>
    <row r="863" spans="2:12" ht="16.5" thickBot="1" x14ac:dyDescent="0.3">
      <c r="B863" s="266"/>
      <c r="C863" s="228"/>
      <c r="D863" s="228"/>
      <c r="E863" s="228"/>
      <c r="F863" s="228"/>
      <c r="G863" s="394"/>
      <c r="H863" s="394"/>
      <c r="I863" s="305"/>
      <c r="J863" s="354"/>
    </row>
    <row r="864" spans="2:12" ht="16.5" thickBot="1" x14ac:dyDescent="0.3">
      <c r="B864" s="266"/>
      <c r="C864" s="228"/>
      <c r="D864" s="228"/>
      <c r="E864" s="228"/>
      <c r="F864" s="228"/>
      <c r="G864" s="14" t="s">
        <v>1072</v>
      </c>
      <c r="H864" s="13"/>
      <c r="I864" s="12"/>
      <c r="J864" s="355">
        <f>+J862+J863</f>
        <v>40030</v>
      </c>
    </row>
    <row r="865" spans="2:10" ht="14.25" thickBot="1" x14ac:dyDescent="0.3">
      <c r="B865" s="356"/>
      <c r="C865" s="357"/>
      <c r="D865" s="357"/>
      <c r="E865" s="357"/>
      <c r="F865" s="357"/>
      <c r="G865" s="357"/>
      <c r="H865" s="357"/>
      <c r="I865" s="357"/>
      <c r="J865" s="358"/>
    </row>
    <row r="866" spans="2:10" ht="14.25" thickBot="1" x14ac:dyDescent="0.3"/>
    <row r="867" spans="2:10" x14ac:dyDescent="0.25">
      <c r="B867" s="419"/>
      <c r="C867" s="420"/>
      <c r="D867" s="423" t="s">
        <v>1052</v>
      </c>
      <c r="E867" s="424"/>
      <c r="F867" s="424"/>
      <c r="G867" s="424"/>
      <c r="H867" s="425"/>
      <c r="I867" s="429"/>
      <c r="J867" s="430"/>
    </row>
    <row r="868" spans="2:10" ht="14.25" thickBot="1" x14ac:dyDescent="0.3">
      <c r="B868" s="421"/>
      <c r="C868" s="422"/>
      <c r="D868" s="426"/>
      <c r="E868" s="427"/>
      <c r="F868" s="427"/>
      <c r="G868" s="427"/>
      <c r="H868" s="428"/>
      <c r="I868" s="431"/>
      <c r="J868" s="432"/>
    </row>
    <row r="869" spans="2:10" ht="16.5" thickBot="1" x14ac:dyDescent="0.3">
      <c r="B869" s="337"/>
      <c r="C869" s="219"/>
      <c r="D869" s="219"/>
      <c r="E869" s="219"/>
      <c r="F869" s="219"/>
      <c r="G869" s="219"/>
      <c r="H869" s="219"/>
      <c r="I869" s="219"/>
      <c r="J869" s="338"/>
    </row>
    <row r="870" spans="2:10" ht="16.5" thickBot="1" x14ac:dyDescent="0.3">
      <c r="B870" s="433" t="s">
        <v>1053</v>
      </c>
      <c r="C870" s="434"/>
      <c r="D870" s="222"/>
      <c r="E870" s="223" t="s">
        <v>171</v>
      </c>
      <c r="F870" s="222">
        <v>30</v>
      </c>
      <c r="G870" s="222" t="s">
        <v>462</v>
      </c>
      <c r="H870" s="223">
        <v>4</v>
      </c>
      <c r="I870" s="224" t="s">
        <v>1054</v>
      </c>
      <c r="J870" s="225">
        <v>2026</v>
      </c>
    </row>
    <row r="871" spans="2:10" ht="15.75" thickBot="1" x14ac:dyDescent="0.3">
      <c r="B871" s="266"/>
      <c r="C871" s="228"/>
      <c r="D871" s="228"/>
      <c r="E871" s="228"/>
      <c r="F871" s="228"/>
      <c r="G871" s="228"/>
      <c r="H871" s="228"/>
      <c r="I871" s="228"/>
      <c r="J871" s="339"/>
    </row>
    <row r="872" spans="2:10" x14ac:dyDescent="0.25">
      <c r="B872" s="435" t="s">
        <v>1055</v>
      </c>
      <c r="C872" s="436"/>
      <c r="D872" s="441" t="s">
        <v>1110</v>
      </c>
      <c r="E872" s="442"/>
      <c r="F872" s="442"/>
      <c r="G872" s="442"/>
      <c r="H872" s="442"/>
      <c r="I872" s="442"/>
      <c r="J872" s="443"/>
    </row>
    <row r="873" spans="2:10" x14ac:dyDescent="0.25">
      <c r="B873" s="437"/>
      <c r="C873" s="438"/>
      <c r="D873" s="444"/>
      <c r="E873" s="445"/>
      <c r="F873" s="445"/>
      <c r="G873" s="445"/>
      <c r="H873" s="445"/>
      <c r="I873" s="445"/>
      <c r="J873" s="446"/>
    </row>
    <row r="874" spans="2:10" ht="14.25" thickBot="1" x14ac:dyDescent="0.3">
      <c r="B874" s="439"/>
      <c r="C874" s="440"/>
      <c r="D874" s="447"/>
      <c r="E874" s="448"/>
      <c r="F874" s="448"/>
      <c r="G874" s="448"/>
      <c r="H874" s="448"/>
      <c r="I874" s="448"/>
      <c r="J874" s="449"/>
    </row>
    <row r="875" spans="2:10" ht="16.5" thickBot="1" x14ac:dyDescent="0.3">
      <c r="B875" s="404"/>
      <c r="C875" s="405"/>
      <c r="D875" s="405"/>
      <c r="E875" s="405"/>
      <c r="F875" s="405"/>
      <c r="G875" s="405"/>
      <c r="H875" s="405"/>
      <c r="I875" s="405"/>
      <c r="J875" s="406"/>
    </row>
    <row r="876" spans="2:10" ht="16.5" thickBot="1" x14ac:dyDescent="0.3">
      <c r="B876" s="340" t="s">
        <v>1056</v>
      </c>
      <c r="C876" s="232">
        <v>4.3</v>
      </c>
      <c r="D876" s="407" t="str">
        <f>'ppto oficial '!B27</f>
        <v xml:space="preserve">suministro e instalacion de ventana 3+3 con cinta de seguridad.  </v>
      </c>
      <c r="E876" s="408"/>
      <c r="F876" s="408"/>
      <c r="G876" s="408"/>
      <c r="H876" s="409"/>
      <c r="I876" s="232" t="s">
        <v>1057</v>
      </c>
      <c r="J876" s="341" t="str">
        <f>VLOOKUP(C876,'ppto oficial '!$A$5:$D$30,3,FALSE)</f>
        <v>m2</v>
      </c>
    </row>
    <row r="877" spans="2:10" ht="15.75" thickBot="1" x14ac:dyDescent="0.3">
      <c r="B877" s="266"/>
      <c r="C877" s="228"/>
      <c r="D877" s="228"/>
      <c r="E877" s="228"/>
      <c r="F877" s="228"/>
      <c r="G877" s="228"/>
      <c r="H877" s="235"/>
      <c r="I877" s="236"/>
      <c r="J877" s="342"/>
    </row>
    <row r="878" spans="2:10" ht="16.5" thickBot="1" x14ac:dyDescent="0.3">
      <c r="B878" s="343" t="s">
        <v>1058</v>
      </c>
      <c r="C878" s="239"/>
      <c r="D878" s="228"/>
      <c r="E878" s="228"/>
      <c r="F878" s="228"/>
      <c r="G878" s="228"/>
      <c r="H878" s="235"/>
      <c r="I878" s="236"/>
      <c r="J878" s="344"/>
    </row>
    <row r="879" spans="2:10" ht="16.5" thickBot="1" x14ac:dyDescent="0.3">
      <c r="B879" s="318" t="s">
        <v>43</v>
      </c>
      <c r="C879" s="410" t="s">
        <v>2</v>
      </c>
      <c r="D879" s="411"/>
      <c r="E879" s="412"/>
      <c r="F879" s="319"/>
      <c r="G879" s="320" t="s">
        <v>105</v>
      </c>
      <c r="H879" s="320" t="s">
        <v>106</v>
      </c>
      <c r="I879" s="320" t="s">
        <v>1059</v>
      </c>
      <c r="J879" s="321" t="s">
        <v>1060</v>
      </c>
    </row>
    <row r="880" spans="2:10" ht="15" x14ac:dyDescent="0.25">
      <c r="B880" s="257" t="s">
        <v>113</v>
      </c>
      <c r="C880" s="413" t="s">
        <v>114</v>
      </c>
      <c r="D880" s="414"/>
      <c r="E880" s="414"/>
      <c r="F880" s="415"/>
      <c r="G880" s="251" t="s">
        <v>1073</v>
      </c>
      <c r="H880" s="252">
        <f>+J902</f>
        <v>73900.135820776559</v>
      </c>
      <c r="I880" s="314">
        <v>0.05</v>
      </c>
      <c r="J880" s="345">
        <v>365.85710977962196</v>
      </c>
    </row>
    <row r="881" spans="2:10" ht="15" x14ac:dyDescent="0.25">
      <c r="B881" s="262" t="s">
        <v>169</v>
      </c>
      <c r="C881" s="416" t="str">
        <f>VLOOKUP(B881,INSUMOS!$K$4:$N$135,2,FALSE)</f>
        <v xml:space="preserve">Andamio certificado x modulo </v>
      </c>
      <c r="D881" s="417"/>
      <c r="E881" s="417"/>
      <c r="F881" s="418"/>
      <c r="G881" s="251" t="str">
        <f>VLOOKUP(B881,INSUMOS!$K$4:$N$135,3,FALSE)</f>
        <v>DIA</v>
      </c>
      <c r="H881" s="252">
        <f>VLOOKUP(B881,INSUMOS!$K$4:$N$135,4,FALSE)</f>
        <v>12000</v>
      </c>
      <c r="I881" s="322">
        <v>0.2</v>
      </c>
      <c r="J881" s="323">
        <f>+H881*I881</f>
        <v>2400</v>
      </c>
    </row>
    <row r="882" spans="2:10" ht="15" x14ac:dyDescent="0.25">
      <c r="B882" s="262"/>
      <c r="C882" s="398"/>
      <c r="D882" s="399"/>
      <c r="E882" s="399"/>
      <c r="F882" s="400"/>
      <c r="G882" s="263"/>
      <c r="H882" s="264"/>
      <c r="I882" s="260"/>
      <c r="J882" s="261"/>
    </row>
    <row r="883" spans="2:10" ht="15" x14ac:dyDescent="0.25">
      <c r="B883" s="262"/>
      <c r="C883" s="11"/>
      <c r="D883" s="10"/>
      <c r="E883" s="10"/>
      <c r="F883" s="9"/>
      <c r="G883" s="263"/>
      <c r="H883" s="264"/>
      <c r="I883" s="265"/>
      <c r="J883" s="261"/>
    </row>
    <row r="884" spans="2:10" ht="16.5" thickBot="1" x14ac:dyDescent="0.3">
      <c r="B884" s="266"/>
      <c r="C884" s="228"/>
      <c r="D884" s="267"/>
      <c r="E884" s="267"/>
      <c r="F884" s="267"/>
      <c r="G884" s="268"/>
      <c r="H884" s="269"/>
      <c r="I884" s="270" t="s">
        <v>1061</v>
      </c>
      <c r="J884" s="271">
        <f>ROUND((SUM(J880:J883)),2)</f>
        <v>2765.86</v>
      </c>
    </row>
    <row r="885" spans="2:10" ht="16.5" thickBot="1" x14ac:dyDescent="0.3">
      <c r="B885" s="272" t="s">
        <v>1062</v>
      </c>
      <c r="C885" s="273"/>
      <c r="D885" s="274"/>
      <c r="E885" s="274"/>
      <c r="F885" s="274"/>
      <c r="G885" s="274"/>
      <c r="H885" s="275"/>
      <c r="I885" s="276"/>
      <c r="J885" s="277"/>
    </row>
    <row r="886" spans="2:10" ht="16.5" thickBot="1" x14ac:dyDescent="0.3">
      <c r="B886" s="346" t="s">
        <v>43</v>
      </c>
      <c r="C886" s="401" t="s">
        <v>44</v>
      </c>
      <c r="D886" s="402"/>
      <c r="E886" s="403"/>
      <c r="F886" s="279"/>
      <c r="G886" s="280" t="s">
        <v>45</v>
      </c>
      <c r="H886" s="280" t="s">
        <v>109</v>
      </c>
      <c r="I886" s="280" t="s">
        <v>4</v>
      </c>
      <c r="J886" s="347" t="s">
        <v>1060</v>
      </c>
    </row>
    <row r="887" spans="2:10" ht="15.75" x14ac:dyDescent="0.25">
      <c r="B887" s="257"/>
      <c r="C887" s="5" t="s">
        <v>1091</v>
      </c>
      <c r="D887" s="4"/>
      <c r="E887" s="4"/>
      <c r="F887" s="3"/>
      <c r="G887" s="258" t="s">
        <v>21</v>
      </c>
      <c r="H887" s="259">
        <v>452000</v>
      </c>
      <c r="I887" s="260">
        <v>1</v>
      </c>
      <c r="J887" s="348">
        <f>I887*H887</f>
        <v>452000</v>
      </c>
    </row>
    <row r="888" spans="2:10" ht="15" x14ac:dyDescent="0.25">
      <c r="B888" s="262"/>
      <c r="C888" s="11"/>
      <c r="D888" s="10"/>
      <c r="E888" s="10"/>
      <c r="F888" s="9"/>
      <c r="G888" s="263"/>
      <c r="H888" s="264"/>
      <c r="I888" s="265"/>
      <c r="J888" s="324"/>
    </row>
    <row r="889" spans="2:10" ht="15" x14ac:dyDescent="0.25">
      <c r="B889" s="262"/>
      <c r="C889" s="11"/>
      <c r="D889" s="10"/>
      <c r="E889" s="10"/>
      <c r="F889" s="9"/>
      <c r="G889" s="263"/>
      <c r="H889" s="264"/>
      <c r="I889" s="265"/>
      <c r="J889" s="324"/>
    </row>
    <row r="890" spans="2:10" ht="15" x14ac:dyDescent="0.25">
      <c r="B890" s="262"/>
      <c r="C890" s="11"/>
      <c r="D890" s="10"/>
      <c r="E890" s="10"/>
      <c r="F890" s="9"/>
      <c r="G890" s="263"/>
      <c r="H890" s="264"/>
      <c r="I890" s="265"/>
      <c r="J890" s="324"/>
    </row>
    <row r="891" spans="2:10" ht="16.5" thickBot="1" x14ac:dyDescent="0.3">
      <c r="B891" s="266"/>
      <c r="C891" s="228"/>
      <c r="D891" s="228"/>
      <c r="E891" s="228"/>
      <c r="F891" s="228"/>
      <c r="G891" s="286"/>
      <c r="H891" s="287"/>
      <c r="I891" s="270" t="s">
        <v>1061</v>
      </c>
      <c r="J891" s="271">
        <f>+SUM(J887:J890)</f>
        <v>452000</v>
      </c>
    </row>
    <row r="892" spans="2:10" ht="16.5" thickBot="1" x14ac:dyDescent="0.3">
      <c r="B892" s="349" t="s">
        <v>1068</v>
      </c>
      <c r="C892" s="290"/>
      <c r="D892" s="228"/>
      <c r="E892" s="228"/>
      <c r="F892" s="228"/>
      <c r="G892" s="228"/>
      <c r="H892" s="235"/>
      <c r="I892" s="291"/>
      <c r="J892" s="344"/>
    </row>
    <row r="893" spans="2:10" ht="16.5" thickBot="1" x14ac:dyDescent="0.3">
      <c r="B893" s="350" t="s">
        <v>43</v>
      </c>
      <c r="C893" s="8" t="s">
        <v>44</v>
      </c>
      <c r="D893" s="7"/>
      <c r="E893" s="6"/>
      <c r="F893" s="293"/>
      <c r="G893" s="331" t="s">
        <v>107</v>
      </c>
      <c r="H893" s="294" t="s">
        <v>108</v>
      </c>
      <c r="I893" s="294" t="s">
        <v>1069</v>
      </c>
      <c r="J893" s="351" t="s">
        <v>1060</v>
      </c>
    </row>
    <row r="894" spans="2:10" ht="15" x14ac:dyDescent="0.25">
      <c r="B894" s="257" t="s">
        <v>115</v>
      </c>
      <c r="C894" s="395" t="str">
        <f>VLOOKUP(B894,INSUMOS!$Q$4:$V$11,2,FALSE)</f>
        <v>Volqueta sencilla (6 M3)</v>
      </c>
      <c r="D894" s="396"/>
      <c r="E894" s="396"/>
      <c r="F894" s="397"/>
      <c r="G894" s="258" t="str">
        <f>VLOOKUP(B894,INSUMOS!$Q$4:$V$11,5,FALSE)</f>
        <v xml:space="preserve">6 M3 VJ </v>
      </c>
      <c r="H894" s="259">
        <f>VLOOKUP(B894,INSUMOS!$Q$4:$V$11,6,FALSE)</f>
        <v>120000</v>
      </c>
      <c r="I894" s="260">
        <v>0.5</v>
      </c>
      <c r="J894" s="324">
        <f>+H894*I894</f>
        <v>60000</v>
      </c>
    </row>
    <row r="895" spans="2:10" ht="15" x14ac:dyDescent="0.25">
      <c r="B895" s="257"/>
      <c r="C895" s="11"/>
      <c r="D895" s="10"/>
      <c r="E895" s="10"/>
      <c r="F895" s="9"/>
      <c r="G895" s="258"/>
      <c r="H895" s="259"/>
      <c r="I895" s="260"/>
      <c r="J895" s="324"/>
    </row>
    <row r="896" spans="2:10" ht="15" x14ac:dyDescent="0.25">
      <c r="B896" s="257"/>
      <c r="C896" s="11"/>
      <c r="D896" s="10"/>
      <c r="E896" s="10"/>
      <c r="F896" s="9"/>
      <c r="G896" s="258"/>
      <c r="H896" s="259"/>
      <c r="I896" s="260"/>
      <c r="J896" s="324">
        <f>+G896*I896</f>
        <v>0</v>
      </c>
    </row>
    <row r="897" spans="2:12" ht="15" x14ac:dyDescent="0.25">
      <c r="B897" s="257"/>
      <c r="C897" s="11"/>
      <c r="D897" s="10"/>
      <c r="E897" s="10"/>
      <c r="F897" s="9"/>
      <c r="G897" s="258"/>
      <c r="H897" s="259"/>
      <c r="I897" s="260"/>
      <c r="J897" s="324">
        <f>+G897*I897</f>
        <v>0</v>
      </c>
    </row>
    <row r="898" spans="2:12" ht="15" x14ac:dyDescent="0.25">
      <c r="B898" s="262"/>
      <c r="C898" s="11"/>
      <c r="D898" s="10"/>
      <c r="E898" s="10"/>
      <c r="F898" s="9"/>
      <c r="G898" s="263"/>
      <c r="H898" s="264"/>
      <c r="I898" s="265"/>
      <c r="J898" s="261">
        <f>+G898*I898</f>
        <v>0</v>
      </c>
    </row>
    <row r="899" spans="2:12" ht="16.5" thickBot="1" x14ac:dyDescent="0.3">
      <c r="B899" s="266"/>
      <c r="C899" s="228"/>
      <c r="D899" s="228"/>
      <c r="E899" s="228"/>
      <c r="F899" s="228"/>
      <c r="G899" s="228"/>
      <c r="H899" s="235"/>
      <c r="I899" s="298" t="s">
        <v>1061</v>
      </c>
      <c r="J899" s="271">
        <f>ROUND((SUM(J894:J898)),2)</f>
        <v>60000</v>
      </c>
    </row>
    <row r="900" spans="2:12" ht="16.5" thickBot="1" x14ac:dyDescent="0.3">
      <c r="B900" s="349" t="s">
        <v>1070</v>
      </c>
      <c r="C900" s="290"/>
      <c r="D900" s="228"/>
      <c r="E900" s="228"/>
      <c r="F900" s="228"/>
      <c r="G900" s="228"/>
      <c r="H900" s="235"/>
      <c r="I900" s="291"/>
      <c r="J900" s="344"/>
    </row>
    <row r="901" spans="2:12" ht="16.5" thickBot="1" x14ac:dyDescent="0.3">
      <c r="B901" s="350" t="s">
        <v>43</v>
      </c>
      <c r="C901" s="8" t="s">
        <v>44</v>
      </c>
      <c r="D901" s="7"/>
      <c r="E901" s="6"/>
      <c r="F901" s="293"/>
      <c r="G901" s="294" t="s">
        <v>45</v>
      </c>
      <c r="H901" s="294" t="s">
        <v>109</v>
      </c>
      <c r="I901" s="294" t="s">
        <v>1059</v>
      </c>
      <c r="J901" s="351" t="s">
        <v>1060</v>
      </c>
    </row>
    <row r="902" spans="2:12" ht="15" x14ac:dyDescent="0.25">
      <c r="B902" s="257" t="s">
        <v>71</v>
      </c>
      <c r="C902" s="5" t="str">
        <f>VLOOKUP(B902,CUADRILLAS!$B$4:$G$19,2,)</f>
        <v>CUADRILLA I (Oficial + ayudante)</v>
      </c>
      <c r="D902" s="4"/>
      <c r="E902" s="4"/>
      <c r="F902" s="3"/>
      <c r="G902" s="259" t="str">
        <f>VLOOKUP(B902,CUADRILLAS!$B$4:$G$19,5,FALSE)</f>
        <v>H</v>
      </c>
      <c r="H902" s="296">
        <f>VLOOKUP(B902,CUADRILLAS!$B$4:$G$19,6,FALSE)</f>
        <v>63785.417685</v>
      </c>
      <c r="I902" s="260">
        <v>1.1585741459862726</v>
      </c>
      <c r="J902" s="352">
        <f>H902*I902</f>
        <v>73900.135820776559</v>
      </c>
    </row>
    <row r="903" spans="2:12" ht="15" x14ac:dyDescent="0.25">
      <c r="B903" s="262"/>
      <c r="C903" s="2"/>
      <c r="D903" s="1"/>
      <c r="E903" s="1"/>
      <c r="F903" s="15"/>
      <c r="G903" s="263"/>
      <c r="H903" s="264"/>
      <c r="I903" s="265"/>
      <c r="J903" s="261"/>
    </row>
    <row r="904" spans="2:12" ht="15" x14ac:dyDescent="0.25">
      <c r="B904" s="262"/>
      <c r="C904" s="299"/>
      <c r="D904" s="300"/>
      <c r="E904" s="300"/>
      <c r="F904" s="301"/>
      <c r="G904" s="263"/>
      <c r="H904" s="264"/>
      <c r="I904" s="265"/>
      <c r="J904" s="261"/>
    </row>
    <row r="905" spans="2:12" ht="15" x14ac:dyDescent="0.25">
      <c r="B905" s="262"/>
      <c r="C905" s="299"/>
      <c r="D905" s="300"/>
      <c r="E905" s="300"/>
      <c r="F905" s="301"/>
      <c r="G905" s="263"/>
      <c r="H905" s="264"/>
      <c r="I905" s="265"/>
      <c r="J905" s="261"/>
    </row>
    <row r="906" spans="2:12" ht="15" x14ac:dyDescent="0.25">
      <c r="B906" s="262"/>
      <c r="C906" s="299"/>
      <c r="D906" s="300"/>
      <c r="E906" s="300"/>
      <c r="F906" s="301"/>
      <c r="G906" s="263"/>
      <c r="H906" s="264"/>
      <c r="I906" s="265"/>
      <c r="J906" s="261">
        <f>+H906*I906</f>
        <v>0</v>
      </c>
    </row>
    <row r="907" spans="2:12" ht="15.75" x14ac:dyDescent="0.25">
      <c r="B907" s="266"/>
      <c r="C907" s="228"/>
      <c r="D907" s="228"/>
      <c r="E907" s="228"/>
      <c r="F907" s="228"/>
      <c r="G907" s="286"/>
      <c r="H907" s="235"/>
      <c r="I907" s="302" t="s">
        <v>1061</v>
      </c>
      <c r="J907" s="353">
        <f>SUM(J902:J906)</f>
        <v>73900.135820776559</v>
      </c>
    </row>
    <row r="908" spans="2:12" ht="15.75" thickBot="1" x14ac:dyDescent="0.3">
      <c r="B908" s="266"/>
      <c r="C908" s="228"/>
      <c r="D908" s="228"/>
      <c r="E908" s="228"/>
      <c r="F908" s="228"/>
      <c r="G908" s="286"/>
      <c r="H908" s="235"/>
      <c r="I908" s="236"/>
      <c r="J908" s="344"/>
    </row>
    <row r="909" spans="2:12" ht="16.5" thickBot="1" x14ac:dyDescent="0.3">
      <c r="B909" s="266"/>
      <c r="C909" s="228"/>
      <c r="D909" s="228"/>
      <c r="E909" s="228"/>
      <c r="F909" s="228"/>
      <c r="G909" s="14" t="s">
        <v>1071</v>
      </c>
      <c r="H909" s="13"/>
      <c r="I909" s="12"/>
      <c r="J909" s="354">
        <f>ROUND((SUM(J907+J899+J891+J884)),2)</f>
        <v>588666</v>
      </c>
      <c r="L909" s="95">
        <v>588666</v>
      </c>
    </row>
    <row r="910" spans="2:12" ht="16.5" thickBot="1" x14ac:dyDescent="0.3">
      <c r="B910" s="266"/>
      <c r="C910" s="228"/>
      <c r="D910" s="228"/>
      <c r="E910" s="228"/>
      <c r="F910" s="228"/>
      <c r="G910" s="394"/>
      <c r="H910" s="394"/>
      <c r="I910" s="305"/>
      <c r="J910" s="354"/>
    </row>
    <row r="911" spans="2:12" ht="16.5" thickBot="1" x14ac:dyDescent="0.3">
      <c r="B911" s="266"/>
      <c r="C911" s="228"/>
      <c r="D911" s="228"/>
      <c r="E911" s="228"/>
      <c r="F911" s="228"/>
      <c r="G911" s="14" t="s">
        <v>1072</v>
      </c>
      <c r="H911" s="13"/>
      <c r="I911" s="12"/>
      <c r="J911" s="355">
        <f>+J909+J910</f>
        <v>588666</v>
      </c>
    </row>
    <row r="912" spans="2:12" ht="14.25" thickBot="1" x14ac:dyDescent="0.3">
      <c r="B912" s="356"/>
      <c r="C912" s="357"/>
      <c r="D912" s="357"/>
      <c r="E912" s="357"/>
      <c r="F912" s="357"/>
      <c r="G912" s="357"/>
      <c r="H912" s="357"/>
      <c r="I912" s="357"/>
      <c r="J912" s="358"/>
    </row>
    <row r="913" spans="2:10" ht="14.25" thickBot="1" x14ac:dyDescent="0.3"/>
    <row r="914" spans="2:10" x14ac:dyDescent="0.25">
      <c r="B914" s="419"/>
      <c r="C914" s="420"/>
      <c r="D914" s="423" t="s">
        <v>1052</v>
      </c>
      <c r="E914" s="424"/>
      <c r="F914" s="424"/>
      <c r="G914" s="424"/>
      <c r="H914" s="425"/>
      <c r="I914" s="429"/>
      <c r="J914" s="430"/>
    </row>
    <row r="915" spans="2:10" ht="14.25" thickBot="1" x14ac:dyDescent="0.3">
      <c r="B915" s="421"/>
      <c r="C915" s="422"/>
      <c r="D915" s="426"/>
      <c r="E915" s="427"/>
      <c r="F915" s="427"/>
      <c r="G915" s="427"/>
      <c r="H915" s="428"/>
      <c r="I915" s="431"/>
      <c r="J915" s="432"/>
    </row>
    <row r="916" spans="2:10" ht="16.5" thickBot="1" x14ac:dyDescent="0.3">
      <c r="B916" s="337"/>
      <c r="C916" s="219"/>
      <c r="D916" s="219"/>
      <c r="E916" s="219"/>
      <c r="F916" s="219"/>
      <c r="G916" s="219"/>
      <c r="H916" s="219"/>
      <c r="I916" s="219"/>
      <c r="J916" s="338"/>
    </row>
    <row r="917" spans="2:10" ht="16.5" thickBot="1" x14ac:dyDescent="0.3">
      <c r="B917" s="433" t="s">
        <v>1053</v>
      </c>
      <c r="C917" s="434"/>
      <c r="D917" s="222"/>
      <c r="E917" s="223" t="s">
        <v>171</v>
      </c>
      <c r="F917" s="222">
        <v>30</v>
      </c>
      <c r="G917" s="222" t="s">
        <v>462</v>
      </c>
      <c r="H917" s="223">
        <v>4</v>
      </c>
      <c r="I917" s="224" t="s">
        <v>1054</v>
      </c>
      <c r="J917" s="225">
        <v>2026</v>
      </c>
    </row>
    <row r="918" spans="2:10" ht="15.75" thickBot="1" x14ac:dyDescent="0.3">
      <c r="B918" s="266"/>
      <c r="C918" s="228"/>
      <c r="D918" s="228"/>
      <c r="E918" s="228"/>
      <c r="F918" s="228"/>
      <c r="G918" s="228"/>
      <c r="H918" s="228"/>
      <c r="I918" s="228"/>
      <c r="J918" s="339"/>
    </row>
    <row r="919" spans="2:10" x14ac:dyDescent="0.25">
      <c r="B919" s="435" t="s">
        <v>1055</v>
      </c>
      <c r="C919" s="436"/>
      <c r="D919" s="441" t="s">
        <v>1110</v>
      </c>
      <c r="E919" s="442"/>
      <c r="F919" s="442"/>
      <c r="G919" s="442"/>
      <c r="H919" s="442"/>
      <c r="I919" s="442"/>
      <c r="J919" s="443"/>
    </row>
    <row r="920" spans="2:10" x14ac:dyDescent="0.25">
      <c r="B920" s="437"/>
      <c r="C920" s="438"/>
      <c r="D920" s="444"/>
      <c r="E920" s="445"/>
      <c r="F920" s="445"/>
      <c r="G920" s="445"/>
      <c r="H920" s="445"/>
      <c r="I920" s="445"/>
      <c r="J920" s="446"/>
    </row>
    <row r="921" spans="2:10" ht="14.25" thickBot="1" x14ac:dyDescent="0.3">
      <c r="B921" s="439"/>
      <c r="C921" s="440"/>
      <c r="D921" s="447"/>
      <c r="E921" s="448"/>
      <c r="F921" s="448"/>
      <c r="G921" s="448"/>
      <c r="H921" s="448"/>
      <c r="I921" s="448"/>
      <c r="J921" s="449"/>
    </row>
    <row r="922" spans="2:10" ht="16.5" thickBot="1" x14ac:dyDescent="0.3">
      <c r="B922" s="404"/>
      <c r="C922" s="405"/>
      <c r="D922" s="405"/>
      <c r="E922" s="405"/>
      <c r="F922" s="405"/>
      <c r="G922" s="405"/>
      <c r="H922" s="405"/>
      <c r="I922" s="405"/>
      <c r="J922" s="406"/>
    </row>
    <row r="923" spans="2:10" ht="16.5" thickBot="1" x14ac:dyDescent="0.3">
      <c r="B923" s="340" t="s">
        <v>1056</v>
      </c>
      <c r="C923" s="232">
        <v>4.4000000000000004</v>
      </c>
      <c r="D923" s="407" t="str">
        <f>'ppto oficial '!B28</f>
        <v>suministro e instalacion de malla para pañete icluye engrapado</v>
      </c>
      <c r="E923" s="408"/>
      <c r="F923" s="408"/>
      <c r="G923" s="408"/>
      <c r="H923" s="409"/>
      <c r="I923" s="232" t="s">
        <v>1057</v>
      </c>
      <c r="J923" s="341" t="str">
        <f>VLOOKUP(C923,'ppto oficial '!$A$5:$D$30,3,FALSE)</f>
        <v>m2</v>
      </c>
    </row>
    <row r="924" spans="2:10" ht="15.75" thickBot="1" x14ac:dyDescent="0.3">
      <c r="B924" s="266"/>
      <c r="C924" s="228"/>
      <c r="D924" s="228"/>
      <c r="E924" s="228"/>
      <c r="F924" s="228"/>
      <c r="G924" s="228"/>
      <c r="H924" s="235"/>
      <c r="I924" s="236"/>
      <c r="J924" s="342"/>
    </row>
    <row r="925" spans="2:10" ht="16.5" thickBot="1" x14ac:dyDescent="0.3">
      <c r="B925" s="343" t="s">
        <v>1058</v>
      </c>
      <c r="C925" s="239"/>
      <c r="D925" s="228"/>
      <c r="E925" s="228"/>
      <c r="F925" s="228"/>
      <c r="G925" s="228"/>
      <c r="H925" s="235"/>
      <c r="I925" s="236"/>
      <c r="J925" s="344"/>
    </row>
    <row r="926" spans="2:10" ht="16.5" thickBot="1" x14ac:dyDescent="0.3">
      <c r="B926" s="318" t="s">
        <v>43</v>
      </c>
      <c r="C926" s="410" t="s">
        <v>2</v>
      </c>
      <c r="D926" s="411"/>
      <c r="E926" s="412"/>
      <c r="F926" s="319"/>
      <c r="G926" s="320" t="s">
        <v>105</v>
      </c>
      <c r="H926" s="320" t="s">
        <v>106</v>
      </c>
      <c r="I926" s="320" t="s">
        <v>1059</v>
      </c>
      <c r="J926" s="321" t="s">
        <v>1060</v>
      </c>
    </row>
    <row r="927" spans="2:10" ht="15" x14ac:dyDescent="0.25">
      <c r="B927" s="257" t="s">
        <v>113</v>
      </c>
      <c r="C927" s="413" t="s">
        <v>114</v>
      </c>
      <c r="D927" s="414"/>
      <c r="E927" s="414"/>
      <c r="F927" s="415"/>
      <c r="G927" s="251" t="s">
        <v>1073</v>
      </c>
      <c r="H927" s="252">
        <f>+J949</f>
        <v>9059.0134124648539</v>
      </c>
      <c r="I927" s="314">
        <v>0.05</v>
      </c>
      <c r="J927" s="345">
        <f>+I927*H927</f>
        <v>452.95067062324273</v>
      </c>
    </row>
    <row r="928" spans="2:10" ht="15" x14ac:dyDescent="0.25">
      <c r="B928" s="262" t="s">
        <v>169</v>
      </c>
      <c r="C928" s="416" t="str">
        <f>VLOOKUP(B928,INSUMOS!$K$4:$N$135,2,FALSE)</f>
        <v xml:space="preserve">Andamio certificado x modulo </v>
      </c>
      <c r="D928" s="417"/>
      <c r="E928" s="417"/>
      <c r="F928" s="418"/>
      <c r="G928" s="251" t="str">
        <f>VLOOKUP(B928,INSUMOS!$K$4:$N$135,3,FALSE)</f>
        <v>DIA</v>
      </c>
      <c r="H928" s="252">
        <f>VLOOKUP(B928,INSUMOS!$K$4:$N$135,4,FALSE)</f>
        <v>12000</v>
      </c>
      <c r="I928" s="322">
        <f>+I949/8</f>
        <v>1.7752908386526101E-2</v>
      </c>
      <c r="J928" s="323">
        <f>+H928*I928</f>
        <v>213.03490063831322</v>
      </c>
    </row>
    <row r="929" spans="2:10" ht="15" x14ac:dyDescent="0.25">
      <c r="B929" s="262"/>
      <c r="C929" s="398"/>
      <c r="D929" s="399"/>
      <c r="E929" s="399"/>
      <c r="F929" s="400"/>
      <c r="G929" s="263"/>
      <c r="H929" s="264"/>
      <c r="I929" s="260"/>
      <c r="J929" s="261"/>
    </row>
    <row r="930" spans="2:10" ht="15" x14ac:dyDescent="0.25">
      <c r="B930" s="262"/>
      <c r="C930" s="11"/>
      <c r="D930" s="10"/>
      <c r="E930" s="10"/>
      <c r="F930" s="9"/>
      <c r="G930" s="263"/>
      <c r="H930" s="264"/>
      <c r="I930" s="265"/>
      <c r="J930" s="261"/>
    </row>
    <row r="931" spans="2:10" ht="16.5" thickBot="1" x14ac:dyDescent="0.3">
      <c r="B931" s="266"/>
      <c r="C931" s="228"/>
      <c r="D931" s="267"/>
      <c r="E931" s="267"/>
      <c r="F931" s="267"/>
      <c r="G931" s="268"/>
      <c r="H931" s="269"/>
      <c r="I931" s="270" t="s">
        <v>1061</v>
      </c>
      <c r="J931" s="271">
        <f>ROUND((SUM(J927:J930)),2)</f>
        <v>665.99</v>
      </c>
    </row>
    <row r="932" spans="2:10" ht="16.5" thickBot="1" x14ac:dyDescent="0.3">
      <c r="B932" s="272" t="s">
        <v>1062</v>
      </c>
      <c r="C932" s="273"/>
      <c r="D932" s="274"/>
      <c r="E932" s="274"/>
      <c r="F932" s="274"/>
      <c r="G932" s="274"/>
      <c r="H932" s="275"/>
      <c r="I932" s="276"/>
      <c r="J932" s="277"/>
    </row>
    <row r="933" spans="2:10" ht="16.5" thickBot="1" x14ac:dyDescent="0.3">
      <c r="B933" s="346" t="s">
        <v>43</v>
      </c>
      <c r="C933" s="401" t="s">
        <v>44</v>
      </c>
      <c r="D933" s="402"/>
      <c r="E933" s="403"/>
      <c r="F933" s="279"/>
      <c r="G933" s="280" t="s">
        <v>45</v>
      </c>
      <c r="H933" s="280" t="s">
        <v>109</v>
      </c>
      <c r="I933" s="280" t="s">
        <v>4</v>
      </c>
      <c r="J933" s="347" t="s">
        <v>1060</v>
      </c>
    </row>
    <row r="934" spans="2:10" ht="15.75" x14ac:dyDescent="0.25">
      <c r="B934" s="257" t="s">
        <v>1092</v>
      </c>
      <c r="C934" s="5" t="str">
        <f>VLOOKUP(B934,INSUMOS!$B$3:$E$310,2,FALSE)</f>
        <v>Malla vena</v>
      </c>
      <c r="D934" s="4"/>
      <c r="E934" s="4"/>
      <c r="F934" s="3"/>
      <c r="G934" s="258" t="str">
        <f>VLOOKUP(B934,INSUMOS!$B$3:$E$310,3,FALSE)</f>
        <v>M2</v>
      </c>
      <c r="H934" s="259">
        <f>VLOOKUP(B934,INSUMOS!$B$3:$E$310,4,FALSE)</f>
        <v>5100</v>
      </c>
      <c r="I934" s="260">
        <v>0.2</v>
      </c>
      <c r="J934" s="348">
        <f>I934*H934</f>
        <v>1020</v>
      </c>
    </row>
    <row r="935" spans="2:10" ht="15" x14ac:dyDescent="0.25">
      <c r="B935" s="262"/>
      <c r="C935" s="11" t="s">
        <v>1093</v>
      </c>
      <c r="D935" s="10"/>
      <c r="E935" s="10"/>
      <c r="F935" s="9"/>
      <c r="G935" s="263" t="s">
        <v>1094</v>
      </c>
      <c r="H935" s="264">
        <v>3000</v>
      </c>
      <c r="I935" s="265">
        <v>3</v>
      </c>
      <c r="J935" s="324">
        <f>+I935*H935</f>
        <v>9000</v>
      </c>
    </row>
    <row r="936" spans="2:10" ht="15" x14ac:dyDescent="0.25">
      <c r="B936" s="262"/>
      <c r="C936" s="11"/>
      <c r="D936" s="10"/>
      <c r="E936" s="10"/>
      <c r="F936" s="9"/>
      <c r="G936" s="263"/>
      <c r="H936" s="264"/>
      <c r="I936" s="265"/>
      <c r="J936" s="324"/>
    </row>
    <row r="937" spans="2:10" ht="15" x14ac:dyDescent="0.25">
      <c r="B937" s="262"/>
      <c r="C937" s="11"/>
      <c r="D937" s="10"/>
      <c r="E937" s="10"/>
      <c r="F937" s="9"/>
      <c r="G937" s="263"/>
      <c r="H937" s="264"/>
      <c r="I937" s="265"/>
      <c r="J937" s="324"/>
    </row>
    <row r="938" spans="2:10" ht="16.5" thickBot="1" x14ac:dyDescent="0.3">
      <c r="B938" s="266"/>
      <c r="C938" s="228"/>
      <c r="D938" s="228"/>
      <c r="E938" s="228"/>
      <c r="F938" s="228"/>
      <c r="G938" s="286"/>
      <c r="H938" s="287"/>
      <c r="I938" s="270" t="s">
        <v>1061</v>
      </c>
      <c r="J938" s="271">
        <f>+SUM(J934:J937)</f>
        <v>10020</v>
      </c>
    </row>
    <row r="939" spans="2:10" ht="16.5" thickBot="1" x14ac:dyDescent="0.3">
      <c r="B939" s="349" t="s">
        <v>1068</v>
      </c>
      <c r="C939" s="290"/>
      <c r="D939" s="228"/>
      <c r="E939" s="228"/>
      <c r="F939" s="228"/>
      <c r="G939" s="228"/>
      <c r="H939" s="235"/>
      <c r="I939" s="291"/>
      <c r="J939" s="344"/>
    </row>
    <row r="940" spans="2:10" ht="16.5" thickBot="1" x14ac:dyDescent="0.3">
      <c r="B940" s="350" t="s">
        <v>43</v>
      </c>
      <c r="C940" s="8" t="s">
        <v>44</v>
      </c>
      <c r="D940" s="7"/>
      <c r="E940" s="6"/>
      <c r="F940" s="293"/>
      <c r="G940" s="331" t="s">
        <v>107</v>
      </c>
      <c r="H940" s="294" t="s">
        <v>108</v>
      </c>
      <c r="I940" s="294" t="s">
        <v>1069</v>
      </c>
      <c r="J940" s="351" t="s">
        <v>1060</v>
      </c>
    </row>
    <row r="941" spans="2:10" ht="15" x14ac:dyDescent="0.25">
      <c r="B941" s="257" t="s">
        <v>115</v>
      </c>
      <c r="C941" s="395" t="str">
        <f>VLOOKUP(B941,INSUMOS!$Q$4:$V$11,2,FALSE)</f>
        <v>Volqueta sencilla (6 M3)</v>
      </c>
      <c r="D941" s="396"/>
      <c r="E941" s="396"/>
      <c r="F941" s="397"/>
      <c r="G941" s="258" t="str">
        <f>VLOOKUP(B941,INSUMOS!$Q$4:$V$11,5,FALSE)</f>
        <v xml:space="preserve">6 M3 VJ </v>
      </c>
      <c r="H941" s="259">
        <f>VLOOKUP(B941,INSUMOS!$Q$4:$V$11,6,FALSE)</f>
        <v>120000</v>
      </c>
      <c r="I941" s="260">
        <v>0.03</v>
      </c>
      <c r="J941" s="324">
        <f>+H941*I941</f>
        <v>3600</v>
      </c>
    </row>
    <row r="942" spans="2:10" ht="15" x14ac:dyDescent="0.25">
      <c r="B942" s="257"/>
      <c r="C942" s="11"/>
      <c r="D942" s="10"/>
      <c r="E942" s="10"/>
      <c r="F942" s="9"/>
      <c r="G942" s="258"/>
      <c r="H942" s="259"/>
      <c r="I942" s="260"/>
      <c r="J942" s="324"/>
    </row>
    <row r="943" spans="2:10" ht="15" x14ac:dyDescent="0.25">
      <c r="B943" s="257"/>
      <c r="C943" s="11"/>
      <c r="D943" s="10"/>
      <c r="E943" s="10"/>
      <c r="F943" s="9"/>
      <c r="G943" s="258"/>
      <c r="H943" s="259"/>
      <c r="I943" s="260"/>
      <c r="J943" s="324">
        <f>+G943*I943</f>
        <v>0</v>
      </c>
    </row>
    <row r="944" spans="2:10" ht="15" x14ac:dyDescent="0.25">
      <c r="B944" s="257"/>
      <c r="C944" s="11"/>
      <c r="D944" s="10"/>
      <c r="E944" s="10"/>
      <c r="F944" s="9"/>
      <c r="G944" s="258"/>
      <c r="H944" s="259"/>
      <c r="I944" s="260"/>
      <c r="J944" s="324">
        <f>+G944*I944</f>
        <v>0</v>
      </c>
    </row>
    <row r="945" spans="2:12" ht="15" x14ac:dyDescent="0.25">
      <c r="B945" s="262"/>
      <c r="C945" s="11"/>
      <c r="D945" s="10"/>
      <c r="E945" s="10"/>
      <c r="F945" s="9"/>
      <c r="G945" s="263"/>
      <c r="H945" s="264"/>
      <c r="I945" s="265"/>
      <c r="J945" s="261">
        <f>+G945*I945</f>
        <v>0</v>
      </c>
    </row>
    <row r="946" spans="2:12" ht="16.5" thickBot="1" x14ac:dyDescent="0.3">
      <c r="B946" s="266"/>
      <c r="C946" s="228"/>
      <c r="D946" s="228"/>
      <c r="E946" s="228"/>
      <c r="F946" s="228"/>
      <c r="G946" s="228"/>
      <c r="H946" s="235"/>
      <c r="I946" s="298" t="s">
        <v>1061</v>
      </c>
      <c r="J946" s="271">
        <f>ROUND((SUM(J941:J945)),2)</f>
        <v>3600</v>
      </c>
    </row>
    <row r="947" spans="2:12" ht="16.5" thickBot="1" x14ac:dyDescent="0.3">
      <c r="B947" s="349" t="s">
        <v>1070</v>
      </c>
      <c r="C947" s="290"/>
      <c r="D947" s="228"/>
      <c r="E947" s="228"/>
      <c r="F947" s="228"/>
      <c r="G947" s="228"/>
      <c r="H947" s="235"/>
      <c r="I947" s="291"/>
      <c r="J947" s="344"/>
    </row>
    <row r="948" spans="2:12" ht="16.5" thickBot="1" x14ac:dyDescent="0.3">
      <c r="B948" s="350" t="s">
        <v>43</v>
      </c>
      <c r="C948" s="8" t="s">
        <v>44</v>
      </c>
      <c r="D948" s="7"/>
      <c r="E948" s="6"/>
      <c r="F948" s="293"/>
      <c r="G948" s="294" t="s">
        <v>45</v>
      </c>
      <c r="H948" s="294" t="s">
        <v>109</v>
      </c>
      <c r="I948" s="294" t="s">
        <v>1059</v>
      </c>
      <c r="J948" s="351" t="s">
        <v>1060</v>
      </c>
    </row>
    <row r="949" spans="2:12" ht="15" x14ac:dyDescent="0.25">
      <c r="B949" s="257" t="s">
        <v>71</v>
      </c>
      <c r="C949" s="5" t="str">
        <f>VLOOKUP(B949,CUADRILLAS!$B$4:$G$19,2,)</f>
        <v>CUADRILLA I (Oficial + ayudante)</v>
      </c>
      <c r="D949" s="4"/>
      <c r="E949" s="4"/>
      <c r="F949" s="3"/>
      <c r="G949" s="259" t="str">
        <f>VLOOKUP(B949,CUADRILLAS!$B$4:$G$19,5,FALSE)</f>
        <v>H</v>
      </c>
      <c r="H949" s="296">
        <f>VLOOKUP(B949,CUADRILLAS!$B$4:$G$19,6,FALSE)</f>
        <v>63785.417685</v>
      </c>
      <c r="I949" s="260">
        <v>0.1420232670922088</v>
      </c>
      <c r="J949" s="352">
        <f>H949*I949</f>
        <v>9059.0134124648539</v>
      </c>
    </row>
    <row r="950" spans="2:12" ht="15" x14ac:dyDescent="0.25">
      <c r="B950" s="262"/>
      <c r="C950" s="2"/>
      <c r="D950" s="1"/>
      <c r="E950" s="1"/>
      <c r="F950" s="15"/>
      <c r="G950" s="263"/>
      <c r="H950" s="264"/>
      <c r="I950" s="265"/>
      <c r="J950" s="261"/>
    </row>
    <row r="951" spans="2:12" ht="15" x14ac:dyDescent="0.25">
      <c r="B951" s="262"/>
      <c r="C951" s="299"/>
      <c r="D951" s="300"/>
      <c r="E951" s="300"/>
      <c r="F951" s="301"/>
      <c r="G951" s="263"/>
      <c r="H951" s="264"/>
      <c r="I951" s="265"/>
      <c r="J951" s="261"/>
    </row>
    <row r="952" spans="2:12" ht="15" x14ac:dyDescent="0.25">
      <c r="B952" s="262"/>
      <c r="C952" s="299"/>
      <c r="D952" s="300"/>
      <c r="E952" s="300"/>
      <c r="F952" s="301"/>
      <c r="G952" s="263"/>
      <c r="H952" s="264"/>
      <c r="I952" s="265"/>
      <c r="J952" s="261"/>
    </row>
    <row r="953" spans="2:12" ht="15" x14ac:dyDescent="0.25">
      <c r="B953" s="262"/>
      <c r="C953" s="299"/>
      <c r="D953" s="300"/>
      <c r="E953" s="300"/>
      <c r="F953" s="301"/>
      <c r="G953" s="263"/>
      <c r="H953" s="264"/>
      <c r="I953" s="265"/>
      <c r="J953" s="261">
        <f>+H953*I953</f>
        <v>0</v>
      </c>
    </row>
    <row r="954" spans="2:12" ht="15.75" x14ac:dyDescent="0.25">
      <c r="B954" s="266"/>
      <c r="C954" s="228"/>
      <c r="D954" s="228"/>
      <c r="E954" s="228"/>
      <c r="F954" s="228"/>
      <c r="G954" s="286"/>
      <c r="H954" s="235"/>
      <c r="I954" s="302" t="s">
        <v>1061</v>
      </c>
      <c r="J954" s="353">
        <f>SUM(J949:J953)</f>
        <v>9059.0134124648539</v>
      </c>
    </row>
    <row r="955" spans="2:12" ht="15.75" thickBot="1" x14ac:dyDescent="0.3">
      <c r="B955" s="266"/>
      <c r="C955" s="228"/>
      <c r="D955" s="228"/>
      <c r="E955" s="228"/>
      <c r="F955" s="228"/>
      <c r="G955" s="286"/>
      <c r="H955" s="235"/>
      <c r="I955" s="236"/>
      <c r="J955" s="344"/>
    </row>
    <row r="956" spans="2:12" ht="16.5" thickBot="1" x14ac:dyDescent="0.3">
      <c r="B956" s="266"/>
      <c r="C956" s="228"/>
      <c r="D956" s="228"/>
      <c r="E956" s="228"/>
      <c r="F956" s="228"/>
      <c r="G956" s="14" t="s">
        <v>1071</v>
      </c>
      <c r="H956" s="13"/>
      <c r="I956" s="12"/>
      <c r="J956" s="354">
        <f>ROUND((SUM(J954+J946+J938+J931)),2)</f>
        <v>23345</v>
      </c>
      <c r="L956" s="95">
        <v>23345</v>
      </c>
    </row>
    <row r="957" spans="2:12" ht="16.5" thickBot="1" x14ac:dyDescent="0.3">
      <c r="B957" s="266"/>
      <c r="C957" s="228"/>
      <c r="D957" s="228"/>
      <c r="E957" s="228"/>
      <c r="F957" s="228"/>
      <c r="G957" s="394"/>
      <c r="H957" s="394"/>
      <c r="I957" s="305"/>
      <c r="J957" s="354"/>
    </row>
    <row r="958" spans="2:12" ht="16.5" thickBot="1" x14ac:dyDescent="0.3">
      <c r="B958" s="266"/>
      <c r="C958" s="228"/>
      <c r="D958" s="228"/>
      <c r="E958" s="228"/>
      <c r="F958" s="228"/>
      <c r="G958" s="14" t="s">
        <v>1072</v>
      </c>
      <c r="H958" s="13"/>
      <c r="I958" s="12"/>
      <c r="J958" s="355">
        <f>+J956+J957</f>
        <v>23345</v>
      </c>
    </row>
    <row r="959" spans="2:12" ht="14.25" thickBot="1" x14ac:dyDescent="0.3">
      <c r="B959" s="356"/>
      <c r="C959" s="357"/>
      <c r="D959" s="357"/>
      <c r="E959" s="357"/>
      <c r="F959" s="357"/>
      <c r="G959" s="357"/>
      <c r="H959" s="357"/>
      <c r="I959" s="357"/>
      <c r="J959" s="358"/>
    </row>
    <row r="960" spans="2:12" ht="14.25" thickBot="1" x14ac:dyDescent="0.3"/>
    <row r="961" spans="2:10" x14ac:dyDescent="0.25">
      <c r="B961" s="419"/>
      <c r="C961" s="420"/>
      <c r="D961" s="423" t="s">
        <v>1052</v>
      </c>
      <c r="E961" s="424"/>
      <c r="F961" s="424"/>
      <c r="G961" s="424"/>
      <c r="H961" s="425"/>
      <c r="I961" s="429"/>
      <c r="J961" s="430"/>
    </row>
    <row r="962" spans="2:10" ht="14.25" thickBot="1" x14ac:dyDescent="0.3">
      <c r="B962" s="421"/>
      <c r="C962" s="422"/>
      <c r="D962" s="426"/>
      <c r="E962" s="427"/>
      <c r="F962" s="427"/>
      <c r="G962" s="427"/>
      <c r="H962" s="428"/>
      <c r="I962" s="431"/>
      <c r="J962" s="432"/>
    </row>
    <row r="963" spans="2:10" ht="16.5" thickBot="1" x14ac:dyDescent="0.3">
      <c r="B963" s="337"/>
      <c r="C963" s="219"/>
      <c r="D963" s="219"/>
      <c r="E963" s="219"/>
      <c r="F963" s="219"/>
      <c r="G963" s="219"/>
      <c r="H963" s="219"/>
      <c r="I963" s="219"/>
      <c r="J963" s="338"/>
    </row>
    <row r="964" spans="2:10" ht="16.5" thickBot="1" x14ac:dyDescent="0.3">
      <c r="B964" s="433" t="s">
        <v>1053</v>
      </c>
      <c r="C964" s="434"/>
      <c r="D964" s="222"/>
      <c r="E964" s="223" t="s">
        <v>171</v>
      </c>
      <c r="F964" s="222">
        <v>30</v>
      </c>
      <c r="G964" s="222" t="s">
        <v>462</v>
      </c>
      <c r="H964" s="223">
        <v>4</v>
      </c>
      <c r="I964" s="224" t="s">
        <v>1054</v>
      </c>
      <c r="J964" s="225">
        <v>2026</v>
      </c>
    </row>
    <row r="965" spans="2:10" ht="15.75" thickBot="1" x14ac:dyDescent="0.3">
      <c r="B965" s="266"/>
      <c r="C965" s="228"/>
      <c r="D965" s="228"/>
      <c r="E965" s="228"/>
      <c r="F965" s="228"/>
      <c r="G965" s="228"/>
      <c r="H965" s="228"/>
      <c r="I965" s="228"/>
      <c r="J965" s="339"/>
    </row>
    <row r="966" spans="2:10" x14ac:dyDescent="0.25">
      <c r="B966" s="435" t="s">
        <v>1055</v>
      </c>
      <c r="C966" s="436"/>
      <c r="D966" s="441" t="s">
        <v>1110</v>
      </c>
      <c r="E966" s="442"/>
      <c r="F966" s="442"/>
      <c r="G966" s="442"/>
      <c r="H966" s="442"/>
      <c r="I966" s="442"/>
      <c r="J966" s="443"/>
    </row>
    <row r="967" spans="2:10" x14ac:dyDescent="0.25">
      <c r="B967" s="437"/>
      <c r="C967" s="438"/>
      <c r="D967" s="444"/>
      <c r="E967" s="445"/>
      <c r="F967" s="445"/>
      <c r="G967" s="445"/>
      <c r="H967" s="445"/>
      <c r="I967" s="445"/>
      <c r="J967" s="446"/>
    </row>
    <row r="968" spans="2:10" ht="14.25" thickBot="1" x14ac:dyDescent="0.3">
      <c r="B968" s="439"/>
      <c r="C968" s="440"/>
      <c r="D968" s="447"/>
      <c r="E968" s="448"/>
      <c r="F968" s="448"/>
      <c r="G968" s="448"/>
      <c r="H968" s="448"/>
      <c r="I968" s="448"/>
      <c r="J968" s="449"/>
    </row>
    <row r="969" spans="2:10" ht="16.5" thickBot="1" x14ac:dyDescent="0.3">
      <c r="B969" s="404"/>
      <c r="C969" s="405"/>
      <c r="D969" s="405"/>
      <c r="E969" s="405"/>
      <c r="F969" s="405"/>
      <c r="G969" s="405"/>
      <c r="H969" s="405"/>
      <c r="I969" s="405"/>
      <c r="J969" s="406"/>
    </row>
    <row r="970" spans="2:10" ht="16.5" thickBot="1" x14ac:dyDescent="0.3">
      <c r="B970" s="340" t="s">
        <v>1056</v>
      </c>
      <c r="C970" s="232">
        <v>5.0999999999999996</v>
      </c>
      <c r="D970" s="407" t="str">
        <f>'ppto oficial '!C30</f>
        <v>Glb</v>
      </c>
      <c r="E970" s="408"/>
      <c r="F970" s="408"/>
      <c r="G970" s="408"/>
      <c r="H970" s="409"/>
      <c r="I970" s="232" t="s">
        <v>1057</v>
      </c>
      <c r="J970" s="341" t="str">
        <f>VLOOKUP(C970,'ppto oficial '!$A$5:$D$30,3,FALSE)</f>
        <v>Glb</v>
      </c>
    </row>
    <row r="971" spans="2:10" ht="15.75" thickBot="1" x14ac:dyDescent="0.3">
      <c r="B971" s="266"/>
      <c r="C971" s="228"/>
      <c r="D971" s="228"/>
      <c r="E971" s="228"/>
      <c r="F971" s="228"/>
      <c r="G971" s="228"/>
      <c r="H971" s="235"/>
      <c r="I971" s="236"/>
      <c r="J971" s="342"/>
    </row>
    <row r="972" spans="2:10" ht="16.5" thickBot="1" x14ac:dyDescent="0.3">
      <c r="B972" s="343" t="s">
        <v>1058</v>
      </c>
      <c r="C972" s="239"/>
      <c r="D972" s="228"/>
      <c r="E972" s="228"/>
      <c r="F972" s="228"/>
      <c r="G972" s="228"/>
      <c r="H972" s="235"/>
      <c r="I972" s="236"/>
      <c r="J972" s="344"/>
    </row>
    <row r="973" spans="2:10" ht="16.5" thickBot="1" x14ac:dyDescent="0.3">
      <c r="B973" s="318" t="s">
        <v>43</v>
      </c>
      <c r="C973" s="410" t="s">
        <v>2</v>
      </c>
      <c r="D973" s="411"/>
      <c r="E973" s="412"/>
      <c r="F973" s="319"/>
      <c r="G973" s="320" t="s">
        <v>105</v>
      </c>
      <c r="H973" s="320" t="s">
        <v>106</v>
      </c>
      <c r="I973" s="320" t="s">
        <v>1059</v>
      </c>
      <c r="J973" s="321" t="s">
        <v>1060</v>
      </c>
    </row>
    <row r="974" spans="2:10" ht="15" x14ac:dyDescent="0.25">
      <c r="B974" s="257" t="s">
        <v>113</v>
      </c>
      <c r="C974" s="413" t="s">
        <v>114</v>
      </c>
      <c r="D974" s="414"/>
      <c r="E974" s="414"/>
      <c r="F974" s="415"/>
      <c r="G974" s="251" t="s">
        <v>1073</v>
      </c>
      <c r="H974" s="252">
        <f>+J997</f>
        <v>4490922.8634469183</v>
      </c>
      <c r="I974" s="314">
        <v>0.05</v>
      </c>
      <c r="J974" s="345">
        <f>+I974*H974</f>
        <v>224546.14317234594</v>
      </c>
    </row>
    <row r="975" spans="2:10" ht="15" x14ac:dyDescent="0.25">
      <c r="B975" s="262"/>
      <c r="C975" s="416"/>
      <c r="D975" s="417"/>
      <c r="E975" s="417"/>
      <c r="F975" s="418"/>
      <c r="G975" s="251"/>
      <c r="H975" s="252"/>
      <c r="I975" s="322"/>
      <c r="J975" s="323"/>
    </row>
    <row r="976" spans="2:10" ht="15" x14ac:dyDescent="0.25">
      <c r="B976" s="262"/>
      <c r="C976" s="416"/>
      <c r="D976" s="417"/>
      <c r="E976" s="417"/>
      <c r="F976" s="418"/>
      <c r="G976" s="251"/>
      <c r="H976" s="252"/>
      <c r="I976" s="322"/>
      <c r="J976" s="323"/>
    </row>
    <row r="977" spans="2:10" ht="15" x14ac:dyDescent="0.25">
      <c r="B977" s="262"/>
      <c r="C977" s="398"/>
      <c r="D977" s="399"/>
      <c r="E977" s="399"/>
      <c r="F977" s="400"/>
      <c r="G977" s="263"/>
      <c r="H977" s="264"/>
      <c r="I977" s="260"/>
      <c r="J977" s="261"/>
    </row>
    <row r="978" spans="2:10" ht="15" x14ac:dyDescent="0.25">
      <c r="B978" s="262"/>
      <c r="C978" s="11"/>
      <c r="D978" s="10"/>
      <c r="E978" s="10"/>
      <c r="F978" s="9"/>
      <c r="G978" s="263"/>
      <c r="H978" s="264"/>
      <c r="I978" s="265"/>
      <c r="J978" s="261"/>
    </row>
    <row r="979" spans="2:10" ht="16.5" thickBot="1" x14ac:dyDescent="0.3">
      <c r="B979" s="266"/>
      <c r="C979" s="228"/>
      <c r="D979" s="267"/>
      <c r="E979" s="267"/>
      <c r="F979" s="267"/>
      <c r="G979" s="268"/>
      <c r="H979" s="269"/>
      <c r="I979" s="270" t="s">
        <v>1061</v>
      </c>
      <c r="J979" s="271">
        <f>ROUND((SUM(J974:J978)),2)</f>
        <v>224546.14</v>
      </c>
    </row>
    <row r="980" spans="2:10" ht="16.5" thickBot="1" x14ac:dyDescent="0.3">
      <c r="B980" s="272" t="s">
        <v>1062</v>
      </c>
      <c r="C980" s="273"/>
      <c r="D980" s="274"/>
      <c r="E980" s="274"/>
      <c r="F980" s="274"/>
      <c r="G980" s="274"/>
      <c r="H980" s="275"/>
      <c r="I980" s="276"/>
      <c r="J980" s="277"/>
    </row>
    <row r="981" spans="2:10" ht="16.5" thickBot="1" x14ac:dyDescent="0.3">
      <c r="B981" s="346" t="s">
        <v>43</v>
      </c>
      <c r="C981" s="401" t="s">
        <v>44</v>
      </c>
      <c r="D981" s="402"/>
      <c r="E981" s="403"/>
      <c r="F981" s="279"/>
      <c r="G981" s="280" t="s">
        <v>45</v>
      </c>
      <c r="H981" s="280" t="s">
        <v>109</v>
      </c>
      <c r="I981" s="280" t="s">
        <v>4</v>
      </c>
      <c r="J981" s="347" t="s">
        <v>1060</v>
      </c>
    </row>
    <row r="982" spans="2:10" ht="15.75" x14ac:dyDescent="0.25">
      <c r="B982" s="257"/>
      <c r="C982" s="5"/>
      <c r="D982" s="4"/>
      <c r="E982" s="4"/>
      <c r="F982" s="3"/>
      <c r="G982" s="258"/>
      <c r="H982" s="259"/>
      <c r="I982" s="260"/>
      <c r="J982" s="348"/>
    </row>
    <row r="983" spans="2:10" ht="15" x14ac:dyDescent="0.25">
      <c r="B983" s="262"/>
      <c r="C983" s="11"/>
      <c r="D983" s="10"/>
      <c r="E983" s="10"/>
      <c r="F983" s="9"/>
      <c r="G983" s="263"/>
      <c r="H983" s="264"/>
      <c r="I983" s="265"/>
      <c r="J983" s="324"/>
    </row>
    <row r="984" spans="2:10" ht="15" x14ac:dyDescent="0.25">
      <c r="B984" s="262"/>
      <c r="C984" s="11"/>
      <c r="D984" s="10"/>
      <c r="E984" s="10"/>
      <c r="F984" s="9"/>
      <c r="G984" s="263"/>
      <c r="H984" s="264"/>
      <c r="I984" s="265"/>
      <c r="J984" s="324"/>
    </row>
    <row r="985" spans="2:10" ht="15" x14ac:dyDescent="0.25">
      <c r="B985" s="262"/>
      <c r="C985" s="11"/>
      <c r="D985" s="10"/>
      <c r="E985" s="10"/>
      <c r="F985" s="9"/>
      <c r="G985" s="263"/>
      <c r="H985" s="264"/>
      <c r="I985" s="265"/>
      <c r="J985" s="324"/>
    </row>
    <row r="986" spans="2:10" ht="16.5" thickBot="1" x14ac:dyDescent="0.3">
      <c r="B986" s="266"/>
      <c r="C986" s="228"/>
      <c r="D986" s="228"/>
      <c r="E986" s="228"/>
      <c r="F986" s="228"/>
      <c r="G986" s="286"/>
      <c r="H986" s="287"/>
      <c r="I986" s="270" t="s">
        <v>1061</v>
      </c>
      <c r="J986" s="271">
        <f>+SUM(J982:J985)</f>
        <v>0</v>
      </c>
    </row>
    <row r="987" spans="2:10" ht="16.5" thickBot="1" x14ac:dyDescent="0.3">
      <c r="B987" s="349" t="s">
        <v>1068</v>
      </c>
      <c r="C987" s="290"/>
      <c r="D987" s="228"/>
      <c r="E987" s="228"/>
      <c r="F987" s="228"/>
      <c r="G987" s="228"/>
      <c r="H987" s="235"/>
      <c r="I987" s="291"/>
      <c r="J987" s="344"/>
    </row>
    <row r="988" spans="2:10" ht="16.5" thickBot="1" x14ac:dyDescent="0.3">
      <c r="B988" s="350" t="s">
        <v>43</v>
      </c>
      <c r="C988" s="8" t="s">
        <v>44</v>
      </c>
      <c r="D988" s="7"/>
      <c r="E988" s="6"/>
      <c r="F988" s="293"/>
      <c r="G988" s="331" t="s">
        <v>107</v>
      </c>
      <c r="H988" s="294" t="s">
        <v>108</v>
      </c>
      <c r="I988" s="294" t="s">
        <v>1069</v>
      </c>
      <c r="J988" s="351" t="s">
        <v>1060</v>
      </c>
    </row>
    <row r="989" spans="2:10" ht="15" x14ac:dyDescent="0.25">
      <c r="B989" s="257"/>
      <c r="C989" s="395"/>
      <c r="D989" s="396"/>
      <c r="E989" s="396"/>
      <c r="F989" s="397"/>
      <c r="G989" s="258"/>
      <c r="H989" s="259"/>
      <c r="I989" s="260"/>
      <c r="J989" s="324"/>
    </row>
    <row r="990" spans="2:10" ht="15" x14ac:dyDescent="0.25">
      <c r="B990" s="257"/>
      <c r="C990" s="11"/>
      <c r="D990" s="10"/>
      <c r="E990" s="10"/>
      <c r="F990" s="9"/>
      <c r="G990" s="258"/>
      <c r="H990" s="259"/>
      <c r="I990" s="260"/>
      <c r="J990" s="324"/>
    </row>
    <row r="991" spans="2:10" ht="15" x14ac:dyDescent="0.25">
      <c r="B991" s="257"/>
      <c r="C991" s="11"/>
      <c r="D991" s="10"/>
      <c r="E991" s="10"/>
      <c r="F991" s="9"/>
      <c r="G991" s="258"/>
      <c r="H991" s="259"/>
      <c r="I991" s="260"/>
      <c r="J991" s="324">
        <f>+G991*I991</f>
        <v>0</v>
      </c>
    </row>
    <row r="992" spans="2:10" ht="15" x14ac:dyDescent="0.25">
      <c r="B992" s="257"/>
      <c r="C992" s="11"/>
      <c r="D992" s="10"/>
      <c r="E992" s="10"/>
      <c r="F992" s="9"/>
      <c r="G992" s="258"/>
      <c r="H992" s="259"/>
      <c r="I992" s="260"/>
      <c r="J992" s="324">
        <f>+G992*I992</f>
        <v>0</v>
      </c>
    </row>
    <row r="993" spans="2:12" ht="15" x14ac:dyDescent="0.25">
      <c r="B993" s="262"/>
      <c r="C993" s="11"/>
      <c r="D993" s="10"/>
      <c r="E993" s="10"/>
      <c r="F993" s="9"/>
      <c r="G993" s="263"/>
      <c r="H993" s="264"/>
      <c r="I993" s="265"/>
      <c r="J993" s="261">
        <f>+G993*I993</f>
        <v>0</v>
      </c>
    </row>
    <row r="994" spans="2:12" ht="16.5" thickBot="1" x14ac:dyDescent="0.3">
      <c r="B994" s="266"/>
      <c r="C994" s="228"/>
      <c r="D994" s="228"/>
      <c r="E994" s="228"/>
      <c r="F994" s="228"/>
      <c r="G994" s="228"/>
      <c r="H994" s="235"/>
      <c r="I994" s="298" t="s">
        <v>1061</v>
      </c>
      <c r="J994" s="271">
        <f>ROUND((SUM(J989:J993)),2)</f>
        <v>0</v>
      </c>
    </row>
    <row r="995" spans="2:12" ht="16.5" thickBot="1" x14ac:dyDescent="0.3">
      <c r="B995" s="349" t="s">
        <v>1070</v>
      </c>
      <c r="C995" s="290"/>
      <c r="D995" s="228"/>
      <c r="E995" s="228"/>
      <c r="F995" s="228"/>
      <c r="G995" s="228"/>
      <c r="H995" s="235"/>
      <c r="I995" s="291"/>
      <c r="J995" s="344"/>
    </row>
    <row r="996" spans="2:12" ht="16.5" thickBot="1" x14ac:dyDescent="0.3">
      <c r="B996" s="350" t="s">
        <v>43</v>
      </c>
      <c r="C996" s="8" t="s">
        <v>44</v>
      </c>
      <c r="D996" s="7"/>
      <c r="E996" s="6"/>
      <c r="F996" s="293"/>
      <c r="G996" s="294" t="s">
        <v>45</v>
      </c>
      <c r="H996" s="294" t="s">
        <v>109</v>
      </c>
      <c r="I996" s="294" t="s">
        <v>1059</v>
      </c>
      <c r="J996" s="351" t="s">
        <v>1060</v>
      </c>
    </row>
    <row r="997" spans="2:12" ht="15" x14ac:dyDescent="0.25">
      <c r="B997" s="257" t="s">
        <v>71</v>
      </c>
      <c r="C997" s="5" t="str">
        <f>VLOOKUP(B997,CUADRILLAS!$B$4:$G$19,2,)</f>
        <v>CUADRILLA I (Oficial + ayudante)</v>
      </c>
      <c r="D997" s="4"/>
      <c r="E997" s="4"/>
      <c r="F997" s="3"/>
      <c r="G997" s="259" t="str">
        <f>VLOOKUP(B997,CUADRILLAS!$B$4:$G$19,5,FALSE)</f>
        <v>H</v>
      </c>
      <c r="H997" s="296">
        <f>VLOOKUP(B997,CUADRILLAS!$B$4:$G$19,6,FALSE)</f>
        <v>63785.417685</v>
      </c>
      <c r="I997" s="260">
        <v>70.406732862125935</v>
      </c>
      <c r="J997" s="352">
        <f>H997*I997</f>
        <v>4490922.8634469183</v>
      </c>
    </row>
    <row r="998" spans="2:12" ht="15" x14ac:dyDescent="0.25">
      <c r="B998" s="262"/>
      <c r="C998" s="2"/>
      <c r="D998" s="1"/>
      <c r="E998" s="1"/>
      <c r="F998" s="15"/>
      <c r="G998" s="263"/>
      <c r="H998" s="264"/>
      <c r="I998" s="265"/>
      <c r="J998" s="261"/>
    </row>
    <row r="999" spans="2:12" ht="15" x14ac:dyDescent="0.25">
      <c r="B999" s="262"/>
      <c r="C999" s="299"/>
      <c r="D999" s="300"/>
      <c r="E999" s="300"/>
      <c r="F999" s="301"/>
      <c r="G999" s="263"/>
      <c r="H999" s="264"/>
      <c r="I999" s="265"/>
      <c r="J999" s="261"/>
    </row>
    <row r="1000" spans="2:12" ht="15" x14ac:dyDescent="0.25">
      <c r="B1000" s="262"/>
      <c r="C1000" s="299"/>
      <c r="D1000" s="300"/>
      <c r="E1000" s="300"/>
      <c r="F1000" s="301"/>
      <c r="G1000" s="263"/>
      <c r="H1000" s="264"/>
      <c r="I1000" s="265"/>
      <c r="J1000" s="261"/>
    </row>
    <row r="1001" spans="2:12" ht="15" x14ac:dyDescent="0.25">
      <c r="B1001" s="262"/>
      <c r="C1001" s="299"/>
      <c r="D1001" s="300"/>
      <c r="E1001" s="300"/>
      <c r="F1001" s="301"/>
      <c r="G1001" s="263"/>
      <c r="H1001" s="264"/>
      <c r="I1001" s="265"/>
      <c r="J1001" s="261">
        <f>+H1001*I1001</f>
        <v>0</v>
      </c>
    </row>
    <row r="1002" spans="2:12" ht="15.75" x14ac:dyDescent="0.25">
      <c r="B1002" s="266"/>
      <c r="C1002" s="228"/>
      <c r="D1002" s="228"/>
      <c r="E1002" s="228"/>
      <c r="F1002" s="228"/>
      <c r="G1002" s="286"/>
      <c r="H1002" s="235"/>
      <c r="I1002" s="302" t="s">
        <v>1061</v>
      </c>
      <c r="J1002" s="353">
        <f>SUM(J997:J1001)</f>
        <v>4490922.8634469183</v>
      </c>
    </row>
    <row r="1003" spans="2:12" ht="15.75" thickBot="1" x14ac:dyDescent="0.3">
      <c r="B1003" s="266"/>
      <c r="C1003" s="228"/>
      <c r="D1003" s="228"/>
      <c r="E1003" s="228"/>
      <c r="F1003" s="228"/>
      <c r="G1003" s="286"/>
      <c r="H1003" s="235"/>
      <c r="I1003" s="236"/>
      <c r="J1003" s="344"/>
    </row>
    <row r="1004" spans="2:12" ht="16.5" thickBot="1" x14ac:dyDescent="0.3">
      <c r="B1004" s="266"/>
      <c r="C1004" s="228"/>
      <c r="D1004" s="228"/>
      <c r="E1004" s="228"/>
      <c r="F1004" s="228"/>
      <c r="G1004" s="14" t="s">
        <v>1071</v>
      </c>
      <c r="H1004" s="13"/>
      <c r="I1004" s="12"/>
      <c r="J1004" s="354">
        <f>ROUND((SUM(J1002+J994+J986+J979)),2)</f>
        <v>4715469</v>
      </c>
      <c r="L1004" s="95">
        <v>4715469</v>
      </c>
    </row>
    <row r="1005" spans="2:12" ht="16.5" thickBot="1" x14ac:dyDescent="0.3">
      <c r="B1005" s="266"/>
      <c r="C1005" s="228"/>
      <c r="D1005" s="228"/>
      <c r="E1005" s="228"/>
      <c r="F1005" s="228"/>
      <c r="G1005" s="394"/>
      <c r="H1005" s="394"/>
      <c r="I1005" s="305"/>
      <c r="J1005" s="354"/>
    </row>
    <row r="1006" spans="2:12" ht="16.5" thickBot="1" x14ac:dyDescent="0.3">
      <c r="B1006" s="266"/>
      <c r="C1006" s="228"/>
      <c r="D1006" s="228"/>
      <c r="E1006" s="228"/>
      <c r="F1006" s="228"/>
      <c r="G1006" s="14" t="s">
        <v>1072</v>
      </c>
      <c r="H1006" s="13"/>
      <c r="I1006" s="12"/>
      <c r="J1006" s="355">
        <f>+J1004+J1005</f>
        <v>4715469</v>
      </c>
    </row>
    <row r="1007" spans="2:12" ht="14.25" thickBot="1" x14ac:dyDescent="0.3">
      <c r="B1007" s="356"/>
      <c r="C1007" s="357"/>
      <c r="D1007" s="357"/>
      <c r="E1007" s="357"/>
      <c r="F1007" s="357"/>
      <c r="G1007" s="357"/>
      <c r="H1007" s="357"/>
      <c r="I1007" s="357"/>
      <c r="J1007" s="358"/>
    </row>
  </sheetData>
  <mergeCells count="636">
    <mergeCell ref="B10:J10"/>
    <mergeCell ref="D11:H11"/>
    <mergeCell ref="C14:E14"/>
    <mergeCell ref="C15:F15"/>
    <mergeCell ref="C16:F16"/>
    <mergeCell ref="C17:F17"/>
    <mergeCell ref="B2:C3"/>
    <mergeCell ref="D2:H3"/>
    <mergeCell ref="I2:J3"/>
    <mergeCell ref="B5:C5"/>
    <mergeCell ref="B7:C9"/>
    <mergeCell ref="D7:J9"/>
    <mergeCell ref="C26:F26"/>
    <mergeCell ref="C27:F27"/>
    <mergeCell ref="C30:E30"/>
    <mergeCell ref="C31:F31"/>
    <mergeCell ref="C32:F32"/>
    <mergeCell ref="C33:F33"/>
    <mergeCell ref="C18:F18"/>
    <mergeCell ref="C19:F19"/>
    <mergeCell ref="C22:E22"/>
    <mergeCell ref="C23:F23"/>
    <mergeCell ref="C24:F24"/>
    <mergeCell ref="C25:F25"/>
    <mergeCell ref="G47:H47"/>
    <mergeCell ref="G48:I48"/>
    <mergeCell ref="B53:C54"/>
    <mergeCell ref="D53:H54"/>
    <mergeCell ref="I53:J54"/>
    <mergeCell ref="B56:C56"/>
    <mergeCell ref="C34:F34"/>
    <mergeCell ref="C35:F35"/>
    <mergeCell ref="C38:E38"/>
    <mergeCell ref="C39:F39"/>
    <mergeCell ref="C40:F40"/>
    <mergeCell ref="G46:I46"/>
    <mergeCell ref="C66:F66"/>
    <mergeCell ref="C67:F67"/>
    <mergeCell ref="C68:F68"/>
    <mergeCell ref="C69:F69"/>
    <mergeCell ref="C70:F70"/>
    <mergeCell ref="C73:E73"/>
    <mergeCell ref="B58:C60"/>
    <mergeCell ref="D58:J60"/>
    <mergeCell ref="B61:J61"/>
    <mergeCell ref="D62:H62"/>
    <mergeCell ref="B64:J64"/>
    <mergeCell ref="C65:E65"/>
    <mergeCell ref="C82:F82"/>
    <mergeCell ref="C83:F83"/>
    <mergeCell ref="C84:F84"/>
    <mergeCell ref="C85:F85"/>
    <mergeCell ref="C88:E88"/>
    <mergeCell ref="C89:F89"/>
    <mergeCell ref="C74:F74"/>
    <mergeCell ref="C75:F75"/>
    <mergeCell ref="C76:F76"/>
    <mergeCell ref="C77:F77"/>
    <mergeCell ref="C78:F78"/>
    <mergeCell ref="C81:E81"/>
    <mergeCell ref="B106:C106"/>
    <mergeCell ref="B108:C110"/>
    <mergeCell ref="D108:J110"/>
    <mergeCell ref="B111:J111"/>
    <mergeCell ref="D112:H112"/>
    <mergeCell ref="C115:E115"/>
    <mergeCell ref="C90:F90"/>
    <mergeCell ref="G96:I96"/>
    <mergeCell ref="G97:H97"/>
    <mergeCell ref="G98:I98"/>
    <mergeCell ref="B103:C104"/>
    <mergeCell ref="D103:H104"/>
    <mergeCell ref="I103:J104"/>
    <mergeCell ref="C125:F125"/>
    <mergeCell ref="C126:F126"/>
    <mergeCell ref="C127:F127"/>
    <mergeCell ref="C130:E130"/>
    <mergeCell ref="C131:F131"/>
    <mergeCell ref="C132:F132"/>
    <mergeCell ref="C116:F116"/>
    <mergeCell ref="C117:F117"/>
    <mergeCell ref="C118:F118"/>
    <mergeCell ref="C119:F119"/>
    <mergeCell ref="C120:F120"/>
    <mergeCell ref="C123:E123"/>
    <mergeCell ref="G146:I146"/>
    <mergeCell ref="G147:H147"/>
    <mergeCell ref="G148:I148"/>
    <mergeCell ref="B153:C154"/>
    <mergeCell ref="D153:H154"/>
    <mergeCell ref="I153:J154"/>
    <mergeCell ref="C133:F133"/>
    <mergeCell ref="C134:F134"/>
    <mergeCell ref="C135:F135"/>
    <mergeCell ref="C138:E138"/>
    <mergeCell ref="C139:F139"/>
    <mergeCell ref="C140:F140"/>
    <mergeCell ref="C166:F166"/>
    <mergeCell ref="C167:F167"/>
    <mergeCell ref="C168:F168"/>
    <mergeCell ref="C169:F169"/>
    <mergeCell ref="C170:F170"/>
    <mergeCell ref="C173:E173"/>
    <mergeCell ref="B156:C156"/>
    <mergeCell ref="B158:C160"/>
    <mergeCell ref="D158:J160"/>
    <mergeCell ref="B161:J161"/>
    <mergeCell ref="D162:H162"/>
    <mergeCell ref="C165:E165"/>
    <mergeCell ref="C182:F182"/>
    <mergeCell ref="C183:F183"/>
    <mergeCell ref="C184:F184"/>
    <mergeCell ref="C187:E187"/>
    <mergeCell ref="C188:F188"/>
    <mergeCell ref="C189:F189"/>
    <mergeCell ref="C174:F174"/>
    <mergeCell ref="C175:F175"/>
    <mergeCell ref="C176:F176"/>
    <mergeCell ref="C179:E179"/>
    <mergeCell ref="C180:F180"/>
    <mergeCell ref="C181:F181"/>
    <mergeCell ref="B205:C205"/>
    <mergeCell ref="B207:C209"/>
    <mergeCell ref="D207:J209"/>
    <mergeCell ref="B210:J210"/>
    <mergeCell ref="D211:H211"/>
    <mergeCell ref="C214:E214"/>
    <mergeCell ref="G195:I195"/>
    <mergeCell ref="G196:H196"/>
    <mergeCell ref="G197:I197"/>
    <mergeCell ref="B202:C203"/>
    <mergeCell ref="D202:H203"/>
    <mergeCell ref="I202:J203"/>
    <mergeCell ref="C224:F224"/>
    <mergeCell ref="C225:F225"/>
    <mergeCell ref="C226:F226"/>
    <mergeCell ref="C229:E229"/>
    <mergeCell ref="C230:F230"/>
    <mergeCell ref="C231:F231"/>
    <mergeCell ref="C215:F215"/>
    <mergeCell ref="C216:F216"/>
    <mergeCell ref="C217:F217"/>
    <mergeCell ref="C218:F218"/>
    <mergeCell ref="C219:F219"/>
    <mergeCell ref="C222:E222"/>
    <mergeCell ref="C223:F223"/>
    <mergeCell ref="G245:I245"/>
    <mergeCell ref="G246:H246"/>
    <mergeCell ref="G247:I247"/>
    <mergeCell ref="B252:C253"/>
    <mergeCell ref="D252:H253"/>
    <mergeCell ref="I252:J253"/>
    <mergeCell ref="C232:F232"/>
    <mergeCell ref="C233:F233"/>
    <mergeCell ref="C234:F234"/>
    <mergeCell ref="C237:E237"/>
    <mergeCell ref="C238:F238"/>
    <mergeCell ref="C239:F239"/>
    <mergeCell ref="C265:F265"/>
    <mergeCell ref="C266:F266"/>
    <mergeCell ref="C267:F267"/>
    <mergeCell ref="C268:F268"/>
    <mergeCell ref="C269:F269"/>
    <mergeCell ref="C272:E272"/>
    <mergeCell ref="B255:C255"/>
    <mergeCell ref="B257:C259"/>
    <mergeCell ref="D257:J259"/>
    <mergeCell ref="B260:J260"/>
    <mergeCell ref="D261:H261"/>
    <mergeCell ref="C264:E264"/>
    <mergeCell ref="C282:F282"/>
    <mergeCell ref="C283:F283"/>
    <mergeCell ref="C284:F284"/>
    <mergeCell ref="C287:E287"/>
    <mergeCell ref="C288:F288"/>
    <mergeCell ref="C289:F289"/>
    <mergeCell ref="C274:F274"/>
    <mergeCell ref="C275:F275"/>
    <mergeCell ref="C276:F276"/>
    <mergeCell ref="C279:E279"/>
    <mergeCell ref="C280:F280"/>
    <mergeCell ref="C281:F281"/>
    <mergeCell ref="B305:C305"/>
    <mergeCell ref="B307:C309"/>
    <mergeCell ref="D307:J309"/>
    <mergeCell ref="B310:J310"/>
    <mergeCell ref="D311:H311"/>
    <mergeCell ref="C314:E314"/>
    <mergeCell ref="G295:I295"/>
    <mergeCell ref="G296:H296"/>
    <mergeCell ref="G297:I297"/>
    <mergeCell ref="B302:C303"/>
    <mergeCell ref="D302:H303"/>
    <mergeCell ref="I302:J303"/>
    <mergeCell ref="C324:F324"/>
    <mergeCell ref="C325:F325"/>
    <mergeCell ref="C326:F326"/>
    <mergeCell ref="C329:E329"/>
    <mergeCell ref="C330:F330"/>
    <mergeCell ref="C331:F331"/>
    <mergeCell ref="C315:F315"/>
    <mergeCell ref="C316:F316"/>
    <mergeCell ref="C317:F317"/>
    <mergeCell ref="C318:F318"/>
    <mergeCell ref="C319:F319"/>
    <mergeCell ref="C322:E322"/>
    <mergeCell ref="G345:I345"/>
    <mergeCell ref="G346:H346"/>
    <mergeCell ref="G347:I347"/>
    <mergeCell ref="B352:C353"/>
    <mergeCell ref="D352:H353"/>
    <mergeCell ref="I352:J353"/>
    <mergeCell ref="C332:F332"/>
    <mergeCell ref="C333:F333"/>
    <mergeCell ref="C334:F334"/>
    <mergeCell ref="C337:E337"/>
    <mergeCell ref="C338:F338"/>
    <mergeCell ref="C339:F339"/>
    <mergeCell ref="C365:F365"/>
    <mergeCell ref="C366:F366"/>
    <mergeCell ref="C367:F367"/>
    <mergeCell ref="C368:F368"/>
    <mergeCell ref="C369:F369"/>
    <mergeCell ref="C372:E372"/>
    <mergeCell ref="B355:C355"/>
    <mergeCell ref="B357:C359"/>
    <mergeCell ref="D357:J359"/>
    <mergeCell ref="B360:J360"/>
    <mergeCell ref="D361:H361"/>
    <mergeCell ref="C364:E364"/>
    <mergeCell ref="C384:F384"/>
    <mergeCell ref="C387:E387"/>
    <mergeCell ref="C388:F388"/>
    <mergeCell ref="C389:F389"/>
    <mergeCell ref="C374:F374"/>
    <mergeCell ref="C375:F375"/>
    <mergeCell ref="C376:F376"/>
    <mergeCell ref="C379:E379"/>
    <mergeCell ref="C380:F380"/>
    <mergeCell ref="C381:F381"/>
    <mergeCell ref="C429:F429"/>
    <mergeCell ref="G441:H441"/>
    <mergeCell ref="C430:F430"/>
    <mergeCell ref="C431:F431"/>
    <mergeCell ref="C434:E434"/>
    <mergeCell ref="C435:F435"/>
    <mergeCell ref="C422:F422"/>
    <mergeCell ref="C428:F428"/>
    <mergeCell ref="C427:E427"/>
    <mergeCell ref="C273:F273"/>
    <mergeCell ref="C323:F323"/>
    <mergeCell ref="C373:F373"/>
    <mergeCell ref="C417:F417"/>
    <mergeCell ref="C418:F418"/>
    <mergeCell ref="C421:E421"/>
    <mergeCell ref="C423:F423"/>
    <mergeCell ref="C424:F424"/>
    <mergeCell ref="C415:F415"/>
    <mergeCell ref="C416:F416"/>
    <mergeCell ref="B405:C405"/>
    <mergeCell ref="B407:C409"/>
    <mergeCell ref="D407:J409"/>
    <mergeCell ref="B410:J410"/>
    <mergeCell ref="D411:H411"/>
    <mergeCell ref="C414:E414"/>
    <mergeCell ref="G395:I395"/>
    <mergeCell ref="G396:H396"/>
    <mergeCell ref="G397:I397"/>
    <mergeCell ref="B402:C403"/>
    <mergeCell ref="D402:H403"/>
    <mergeCell ref="I402:J403"/>
    <mergeCell ref="C382:F382"/>
    <mergeCell ref="C383:F383"/>
    <mergeCell ref="B455:J455"/>
    <mergeCell ref="D456:H456"/>
    <mergeCell ref="C459:E459"/>
    <mergeCell ref="C460:F460"/>
    <mergeCell ref="C461:F461"/>
    <mergeCell ref="C436:F436"/>
    <mergeCell ref="B447:C448"/>
    <mergeCell ref="D447:H448"/>
    <mergeCell ref="I447:J448"/>
    <mergeCell ref="B450:C450"/>
    <mergeCell ref="B452:C454"/>
    <mergeCell ref="D452:J454"/>
    <mergeCell ref="G442:I442"/>
    <mergeCell ref="G444:I444"/>
    <mergeCell ref="C470:F470"/>
    <mergeCell ref="C473:E473"/>
    <mergeCell ref="C474:F474"/>
    <mergeCell ref="C475:F475"/>
    <mergeCell ref="C476:F476"/>
    <mergeCell ref="C477:F477"/>
    <mergeCell ref="C462:F462"/>
    <mergeCell ref="C463:F463"/>
    <mergeCell ref="C466:E466"/>
    <mergeCell ref="C467:F467"/>
    <mergeCell ref="C468:F468"/>
    <mergeCell ref="C469:F469"/>
    <mergeCell ref="G491:I491"/>
    <mergeCell ref="B494:C495"/>
    <mergeCell ref="D494:H495"/>
    <mergeCell ref="I494:J495"/>
    <mergeCell ref="B497:C497"/>
    <mergeCell ref="B499:C501"/>
    <mergeCell ref="D499:J501"/>
    <mergeCell ref="C478:F478"/>
    <mergeCell ref="C481:E481"/>
    <mergeCell ref="C482:F482"/>
    <mergeCell ref="C483:F483"/>
    <mergeCell ref="G489:I489"/>
    <mergeCell ref="G490:H490"/>
    <mergeCell ref="C509:F509"/>
    <mergeCell ref="C510:F510"/>
    <mergeCell ref="C513:E513"/>
    <mergeCell ref="C514:F514"/>
    <mergeCell ref="C515:F515"/>
    <mergeCell ref="C516:F516"/>
    <mergeCell ref="B502:J502"/>
    <mergeCell ref="D503:H503"/>
    <mergeCell ref="C506:E506"/>
    <mergeCell ref="C507:F507"/>
    <mergeCell ref="C508:F508"/>
    <mergeCell ref="C525:F525"/>
    <mergeCell ref="C528:E528"/>
    <mergeCell ref="C529:F529"/>
    <mergeCell ref="C530:F530"/>
    <mergeCell ref="G536:I536"/>
    <mergeCell ref="G537:H537"/>
    <mergeCell ref="C517:F517"/>
    <mergeCell ref="C520:E520"/>
    <mergeCell ref="C521:F521"/>
    <mergeCell ref="C522:F522"/>
    <mergeCell ref="C523:F523"/>
    <mergeCell ref="C524:F524"/>
    <mergeCell ref="B548:J548"/>
    <mergeCell ref="D549:H549"/>
    <mergeCell ref="C552:E552"/>
    <mergeCell ref="C553:F553"/>
    <mergeCell ref="C554:F554"/>
    <mergeCell ref="G538:I538"/>
    <mergeCell ref="B540:C541"/>
    <mergeCell ref="D540:H541"/>
    <mergeCell ref="I540:J541"/>
    <mergeCell ref="B543:C543"/>
    <mergeCell ref="B545:C547"/>
    <mergeCell ref="D545:J547"/>
    <mergeCell ref="C563:F563"/>
    <mergeCell ref="C566:E566"/>
    <mergeCell ref="C567:F567"/>
    <mergeCell ref="C568:F568"/>
    <mergeCell ref="C569:F569"/>
    <mergeCell ref="C570:F570"/>
    <mergeCell ref="C555:F555"/>
    <mergeCell ref="C556:F556"/>
    <mergeCell ref="C559:E559"/>
    <mergeCell ref="C560:F560"/>
    <mergeCell ref="C561:F561"/>
    <mergeCell ref="C562:F562"/>
    <mergeCell ref="G584:I584"/>
    <mergeCell ref="B586:C587"/>
    <mergeCell ref="D586:H587"/>
    <mergeCell ref="I586:J587"/>
    <mergeCell ref="B589:C589"/>
    <mergeCell ref="B591:C593"/>
    <mergeCell ref="D591:J593"/>
    <mergeCell ref="C571:F571"/>
    <mergeCell ref="C574:E574"/>
    <mergeCell ref="C575:F575"/>
    <mergeCell ref="C576:F576"/>
    <mergeCell ref="G582:I582"/>
    <mergeCell ref="G583:H583"/>
    <mergeCell ref="C601:F601"/>
    <mergeCell ref="C602:F602"/>
    <mergeCell ref="C605:E605"/>
    <mergeCell ref="C606:F606"/>
    <mergeCell ref="C607:F607"/>
    <mergeCell ref="C608:F608"/>
    <mergeCell ref="B594:J594"/>
    <mergeCell ref="D595:H595"/>
    <mergeCell ref="C598:E598"/>
    <mergeCell ref="C599:F599"/>
    <mergeCell ref="C600:F600"/>
    <mergeCell ref="C617:F617"/>
    <mergeCell ref="C620:E620"/>
    <mergeCell ref="C621:F621"/>
    <mergeCell ref="C622:F622"/>
    <mergeCell ref="G628:I628"/>
    <mergeCell ref="G629:H629"/>
    <mergeCell ref="C609:F609"/>
    <mergeCell ref="C612:E612"/>
    <mergeCell ref="C613:F613"/>
    <mergeCell ref="C614:F614"/>
    <mergeCell ref="C615:F615"/>
    <mergeCell ref="C616:F616"/>
    <mergeCell ref="B641:J641"/>
    <mergeCell ref="D642:H642"/>
    <mergeCell ref="C645:E645"/>
    <mergeCell ref="C646:F646"/>
    <mergeCell ref="C647:F647"/>
    <mergeCell ref="G630:I630"/>
    <mergeCell ref="B633:C634"/>
    <mergeCell ref="D633:H634"/>
    <mergeCell ref="I633:J634"/>
    <mergeCell ref="B636:C636"/>
    <mergeCell ref="B638:C640"/>
    <mergeCell ref="D638:J640"/>
    <mergeCell ref="C656:F656"/>
    <mergeCell ref="C659:E659"/>
    <mergeCell ref="C660:F660"/>
    <mergeCell ref="C661:F661"/>
    <mergeCell ref="C662:F662"/>
    <mergeCell ref="C663:F663"/>
    <mergeCell ref="C648:F648"/>
    <mergeCell ref="C649:F649"/>
    <mergeCell ref="C652:E652"/>
    <mergeCell ref="C653:F653"/>
    <mergeCell ref="C654:F654"/>
    <mergeCell ref="C655:F655"/>
    <mergeCell ref="G677:I677"/>
    <mergeCell ref="B680:C681"/>
    <mergeCell ref="D680:H681"/>
    <mergeCell ref="I680:J681"/>
    <mergeCell ref="B683:C683"/>
    <mergeCell ref="B685:C687"/>
    <mergeCell ref="D685:J687"/>
    <mergeCell ref="C664:F664"/>
    <mergeCell ref="C667:E667"/>
    <mergeCell ref="C668:F668"/>
    <mergeCell ref="C669:F669"/>
    <mergeCell ref="G675:I675"/>
    <mergeCell ref="G676:H676"/>
    <mergeCell ref="C694:F694"/>
    <mergeCell ref="C695:F695"/>
    <mergeCell ref="C698:E698"/>
    <mergeCell ref="C699:F699"/>
    <mergeCell ref="C700:F700"/>
    <mergeCell ref="B688:J688"/>
    <mergeCell ref="D689:H689"/>
    <mergeCell ref="C692:E692"/>
    <mergeCell ref="C693:F693"/>
    <mergeCell ref="C708:F708"/>
    <mergeCell ref="C711:E711"/>
    <mergeCell ref="C712:F712"/>
    <mergeCell ref="C713:F713"/>
    <mergeCell ref="G719:I719"/>
    <mergeCell ref="G720:H720"/>
    <mergeCell ref="C701:F701"/>
    <mergeCell ref="C704:E704"/>
    <mergeCell ref="C705:F705"/>
    <mergeCell ref="C706:F706"/>
    <mergeCell ref="C707:F707"/>
    <mergeCell ref="B732:J732"/>
    <mergeCell ref="D733:H733"/>
    <mergeCell ref="C736:E736"/>
    <mergeCell ref="C737:F737"/>
    <mergeCell ref="C738:F738"/>
    <mergeCell ref="C739:F739"/>
    <mergeCell ref="G721:I721"/>
    <mergeCell ref="B724:C725"/>
    <mergeCell ref="D724:H725"/>
    <mergeCell ref="I724:J725"/>
    <mergeCell ref="B727:C727"/>
    <mergeCell ref="B729:C731"/>
    <mergeCell ref="D729:J731"/>
    <mergeCell ref="C748:F748"/>
    <mergeCell ref="C751:E751"/>
    <mergeCell ref="C752:F752"/>
    <mergeCell ref="C753:F753"/>
    <mergeCell ref="C754:F754"/>
    <mergeCell ref="C755:F755"/>
    <mergeCell ref="C740:F740"/>
    <mergeCell ref="C741:F741"/>
    <mergeCell ref="C744:E744"/>
    <mergeCell ref="C745:F745"/>
    <mergeCell ref="C746:F746"/>
    <mergeCell ref="C747:F747"/>
    <mergeCell ref="G769:I769"/>
    <mergeCell ref="B772:C773"/>
    <mergeCell ref="D772:H773"/>
    <mergeCell ref="I772:J773"/>
    <mergeCell ref="B775:C775"/>
    <mergeCell ref="B777:C779"/>
    <mergeCell ref="D777:J779"/>
    <mergeCell ref="C756:F756"/>
    <mergeCell ref="C759:E759"/>
    <mergeCell ref="C760:F760"/>
    <mergeCell ref="C761:F761"/>
    <mergeCell ref="G767:I767"/>
    <mergeCell ref="G768:H768"/>
    <mergeCell ref="C788:F788"/>
    <mergeCell ref="C789:F789"/>
    <mergeCell ref="C792:E792"/>
    <mergeCell ref="C793:F793"/>
    <mergeCell ref="C794:F794"/>
    <mergeCell ref="C795:F795"/>
    <mergeCell ref="B780:J780"/>
    <mergeCell ref="D781:H781"/>
    <mergeCell ref="C784:E784"/>
    <mergeCell ref="C785:F785"/>
    <mergeCell ref="C786:F786"/>
    <mergeCell ref="C787:F787"/>
    <mergeCell ref="C804:F804"/>
    <mergeCell ref="C807:E807"/>
    <mergeCell ref="C808:F808"/>
    <mergeCell ref="C809:F809"/>
    <mergeCell ref="G815:I815"/>
    <mergeCell ref="G816:H816"/>
    <mergeCell ref="C796:F796"/>
    <mergeCell ref="C799:E799"/>
    <mergeCell ref="C800:F800"/>
    <mergeCell ref="C801:F801"/>
    <mergeCell ref="C802:F802"/>
    <mergeCell ref="C803:F803"/>
    <mergeCell ref="B828:J828"/>
    <mergeCell ref="D829:H829"/>
    <mergeCell ref="C832:E832"/>
    <mergeCell ref="C833:F833"/>
    <mergeCell ref="C834:F834"/>
    <mergeCell ref="G817:I817"/>
    <mergeCell ref="B820:C821"/>
    <mergeCell ref="D820:H821"/>
    <mergeCell ref="I820:J821"/>
    <mergeCell ref="B823:C823"/>
    <mergeCell ref="B825:C827"/>
    <mergeCell ref="D825:J827"/>
    <mergeCell ref="C843:F843"/>
    <mergeCell ref="C846:E846"/>
    <mergeCell ref="C847:F847"/>
    <mergeCell ref="C848:F848"/>
    <mergeCell ref="C849:F849"/>
    <mergeCell ref="C850:F850"/>
    <mergeCell ref="C835:F835"/>
    <mergeCell ref="C836:F836"/>
    <mergeCell ref="C839:E839"/>
    <mergeCell ref="C840:F840"/>
    <mergeCell ref="C841:F841"/>
    <mergeCell ref="C842:F842"/>
    <mergeCell ref="G864:I864"/>
    <mergeCell ref="B867:C868"/>
    <mergeCell ref="D867:H868"/>
    <mergeCell ref="I867:J868"/>
    <mergeCell ref="B870:C870"/>
    <mergeCell ref="B872:C874"/>
    <mergeCell ref="D872:J874"/>
    <mergeCell ref="C851:F851"/>
    <mergeCell ref="C854:E854"/>
    <mergeCell ref="C855:F855"/>
    <mergeCell ref="C856:F856"/>
    <mergeCell ref="G862:I862"/>
    <mergeCell ref="G863:H863"/>
    <mergeCell ref="C882:F882"/>
    <mergeCell ref="C883:F883"/>
    <mergeCell ref="C886:E886"/>
    <mergeCell ref="C887:F887"/>
    <mergeCell ref="C888:F888"/>
    <mergeCell ref="C889:F889"/>
    <mergeCell ref="B875:J875"/>
    <mergeCell ref="D876:H876"/>
    <mergeCell ref="C879:E879"/>
    <mergeCell ref="C880:F880"/>
    <mergeCell ref="C881:F881"/>
    <mergeCell ref="C898:F898"/>
    <mergeCell ref="C901:E901"/>
    <mergeCell ref="C902:F902"/>
    <mergeCell ref="C903:F903"/>
    <mergeCell ref="G909:I909"/>
    <mergeCell ref="G910:H910"/>
    <mergeCell ref="C890:F890"/>
    <mergeCell ref="C893:E893"/>
    <mergeCell ref="C894:F894"/>
    <mergeCell ref="C895:F895"/>
    <mergeCell ref="C896:F896"/>
    <mergeCell ref="C897:F897"/>
    <mergeCell ref="B922:J922"/>
    <mergeCell ref="D923:H923"/>
    <mergeCell ref="C926:E926"/>
    <mergeCell ref="C927:F927"/>
    <mergeCell ref="C928:F928"/>
    <mergeCell ref="G911:I911"/>
    <mergeCell ref="B914:C915"/>
    <mergeCell ref="D914:H915"/>
    <mergeCell ref="I914:J915"/>
    <mergeCell ref="B917:C917"/>
    <mergeCell ref="B919:C921"/>
    <mergeCell ref="D919:J921"/>
    <mergeCell ref="C937:F937"/>
    <mergeCell ref="C940:E940"/>
    <mergeCell ref="C941:F941"/>
    <mergeCell ref="C942:F942"/>
    <mergeCell ref="C943:F943"/>
    <mergeCell ref="C944:F944"/>
    <mergeCell ref="C929:F929"/>
    <mergeCell ref="C930:F930"/>
    <mergeCell ref="C933:E933"/>
    <mergeCell ref="C934:F934"/>
    <mergeCell ref="C935:F935"/>
    <mergeCell ref="C936:F936"/>
    <mergeCell ref="G958:I958"/>
    <mergeCell ref="B961:C962"/>
    <mergeCell ref="D961:H962"/>
    <mergeCell ref="I961:J962"/>
    <mergeCell ref="B964:C964"/>
    <mergeCell ref="B966:C968"/>
    <mergeCell ref="D966:J968"/>
    <mergeCell ref="C945:F945"/>
    <mergeCell ref="C948:E948"/>
    <mergeCell ref="C949:F949"/>
    <mergeCell ref="C950:F950"/>
    <mergeCell ref="G956:I956"/>
    <mergeCell ref="G957:H957"/>
    <mergeCell ref="C977:F977"/>
    <mergeCell ref="C978:F978"/>
    <mergeCell ref="C981:E981"/>
    <mergeCell ref="C982:F982"/>
    <mergeCell ref="C983:F983"/>
    <mergeCell ref="C984:F984"/>
    <mergeCell ref="B969:J969"/>
    <mergeCell ref="D970:H970"/>
    <mergeCell ref="C973:E973"/>
    <mergeCell ref="C974:F974"/>
    <mergeCell ref="C975:F975"/>
    <mergeCell ref="C976:F976"/>
    <mergeCell ref="G1006:I1006"/>
    <mergeCell ref="C993:F993"/>
    <mergeCell ref="C996:E996"/>
    <mergeCell ref="C997:F997"/>
    <mergeCell ref="C998:F998"/>
    <mergeCell ref="G1004:I1004"/>
    <mergeCell ref="G1005:H1005"/>
    <mergeCell ref="C985:F985"/>
    <mergeCell ref="C988:E988"/>
    <mergeCell ref="C989:F989"/>
    <mergeCell ref="C990:F990"/>
    <mergeCell ref="C991:F991"/>
    <mergeCell ref="C992:F992"/>
  </mergeCells>
  <conditionalFormatting sqref="D11">
    <cfRule type="expression" dxfId="41" priority="57" stopIfTrue="1">
      <formula>0</formula>
    </cfRule>
    <cfRule type="cellIs" dxfId="40" priority="58" stopIfTrue="1" operator="equal">
      <formula>"-"</formula>
    </cfRule>
  </conditionalFormatting>
  <conditionalFormatting sqref="D62">
    <cfRule type="cellIs" dxfId="39" priority="40" stopIfTrue="1" operator="equal">
      <formula>"-"</formula>
    </cfRule>
    <cfRule type="expression" dxfId="38" priority="39" stopIfTrue="1">
      <formula>0</formula>
    </cfRule>
  </conditionalFormatting>
  <conditionalFormatting sqref="D112">
    <cfRule type="cellIs" dxfId="37" priority="38" stopIfTrue="1" operator="equal">
      <formula>"-"</formula>
    </cfRule>
    <cfRule type="expression" dxfId="36" priority="37" stopIfTrue="1">
      <formula>0</formula>
    </cfRule>
  </conditionalFormatting>
  <conditionalFormatting sqref="D162">
    <cfRule type="cellIs" dxfId="35" priority="36" stopIfTrue="1" operator="equal">
      <formula>"-"</formula>
    </cfRule>
    <cfRule type="expression" dxfId="34" priority="35" stopIfTrue="1">
      <formula>0</formula>
    </cfRule>
  </conditionalFormatting>
  <conditionalFormatting sqref="D211">
    <cfRule type="cellIs" dxfId="33" priority="34" stopIfTrue="1" operator="equal">
      <formula>"-"</formula>
    </cfRule>
    <cfRule type="expression" dxfId="32" priority="33" stopIfTrue="1">
      <formula>0</formula>
    </cfRule>
  </conditionalFormatting>
  <conditionalFormatting sqref="D261">
    <cfRule type="cellIs" dxfId="31" priority="32" stopIfTrue="1" operator="equal">
      <formula>"-"</formula>
    </cfRule>
    <cfRule type="expression" dxfId="30" priority="31" stopIfTrue="1">
      <formula>0</formula>
    </cfRule>
  </conditionalFormatting>
  <conditionalFormatting sqref="D311">
    <cfRule type="cellIs" dxfId="29" priority="30" stopIfTrue="1" operator="equal">
      <formula>"-"</formula>
    </cfRule>
    <cfRule type="expression" dxfId="28" priority="29" stopIfTrue="1">
      <formula>0</formula>
    </cfRule>
  </conditionalFormatting>
  <conditionalFormatting sqref="D361">
    <cfRule type="cellIs" dxfId="27" priority="28" stopIfTrue="1" operator="equal">
      <formula>"-"</formula>
    </cfRule>
    <cfRule type="expression" dxfId="26" priority="27" stopIfTrue="1">
      <formula>0</formula>
    </cfRule>
  </conditionalFormatting>
  <conditionalFormatting sqref="D411">
    <cfRule type="cellIs" dxfId="25" priority="26" stopIfTrue="1" operator="equal">
      <formula>"-"</formula>
    </cfRule>
    <cfRule type="expression" dxfId="24" priority="25" stopIfTrue="1">
      <formula>0</formula>
    </cfRule>
  </conditionalFormatting>
  <conditionalFormatting sqref="D456">
    <cfRule type="cellIs" dxfId="23" priority="24" stopIfTrue="1" operator="equal">
      <formula>"-"</formula>
    </cfRule>
    <cfRule type="expression" dxfId="22" priority="23" stopIfTrue="1">
      <formula>0</formula>
    </cfRule>
  </conditionalFormatting>
  <conditionalFormatting sqref="D503">
    <cfRule type="expression" dxfId="21" priority="21" stopIfTrue="1">
      <formula>0</formula>
    </cfRule>
    <cfRule type="cellIs" dxfId="20" priority="22" stopIfTrue="1" operator="equal">
      <formula>"-"</formula>
    </cfRule>
  </conditionalFormatting>
  <conditionalFormatting sqref="D549">
    <cfRule type="cellIs" dxfId="19" priority="20" stopIfTrue="1" operator="equal">
      <formula>"-"</formula>
    </cfRule>
    <cfRule type="expression" dxfId="18" priority="19" stopIfTrue="1">
      <formula>0</formula>
    </cfRule>
  </conditionalFormatting>
  <conditionalFormatting sqref="D595">
    <cfRule type="cellIs" dxfId="17" priority="18" stopIfTrue="1" operator="equal">
      <formula>"-"</formula>
    </cfRule>
    <cfRule type="expression" dxfId="16" priority="17" stopIfTrue="1">
      <formula>0</formula>
    </cfRule>
  </conditionalFormatting>
  <conditionalFormatting sqref="D642">
    <cfRule type="cellIs" dxfId="15" priority="16" stopIfTrue="1" operator="equal">
      <formula>"-"</formula>
    </cfRule>
    <cfRule type="expression" dxfId="14" priority="15" stopIfTrue="1">
      <formula>0</formula>
    </cfRule>
  </conditionalFormatting>
  <conditionalFormatting sqref="D689">
    <cfRule type="cellIs" dxfId="13" priority="14" stopIfTrue="1" operator="equal">
      <formula>"-"</formula>
    </cfRule>
    <cfRule type="expression" dxfId="12" priority="13" stopIfTrue="1">
      <formula>0</formula>
    </cfRule>
  </conditionalFormatting>
  <conditionalFormatting sqref="D733">
    <cfRule type="cellIs" dxfId="11" priority="12" stopIfTrue="1" operator="equal">
      <formula>"-"</formula>
    </cfRule>
    <cfRule type="expression" dxfId="10" priority="11" stopIfTrue="1">
      <formula>0</formula>
    </cfRule>
  </conditionalFormatting>
  <conditionalFormatting sqref="D781">
    <cfRule type="cellIs" dxfId="9" priority="10" stopIfTrue="1" operator="equal">
      <formula>"-"</formula>
    </cfRule>
    <cfRule type="expression" dxfId="8" priority="9" stopIfTrue="1">
      <formula>0</formula>
    </cfRule>
  </conditionalFormatting>
  <conditionalFormatting sqref="D829">
    <cfRule type="cellIs" dxfId="7" priority="8" stopIfTrue="1" operator="equal">
      <formula>"-"</formula>
    </cfRule>
    <cfRule type="expression" dxfId="6" priority="7" stopIfTrue="1">
      <formula>0</formula>
    </cfRule>
  </conditionalFormatting>
  <conditionalFormatting sqref="D876">
    <cfRule type="cellIs" dxfId="5" priority="6" stopIfTrue="1" operator="equal">
      <formula>"-"</formula>
    </cfRule>
    <cfRule type="expression" dxfId="4" priority="5" stopIfTrue="1">
      <formula>0</formula>
    </cfRule>
  </conditionalFormatting>
  <conditionalFormatting sqref="D923">
    <cfRule type="cellIs" dxfId="3" priority="4" stopIfTrue="1" operator="equal">
      <formula>"-"</formula>
    </cfRule>
    <cfRule type="expression" dxfId="2" priority="3" stopIfTrue="1">
      <formula>0</formula>
    </cfRule>
  </conditionalFormatting>
  <conditionalFormatting sqref="D970">
    <cfRule type="expression" dxfId="1" priority="1" stopIfTrue="1">
      <formula>0</formula>
    </cfRule>
    <cfRule type="cellIs" dxfId="0" priority="2" stopIfTrue="1" operator="equal">
      <formula>"-"</formula>
    </cfRule>
  </conditionalFormatting>
  <dataValidations count="1">
    <dataValidation type="list" allowBlank="1" showErrorMessage="1" sqref="B131 B180 B230" xr:uid="{00000000-0002-0000-0100-000000000000}">
      <formula1>$N$4:$N$18</formula1>
    </dataValidation>
  </dataValidations>
  <pageMargins left="0.7" right="0.7" top="0.75" bottom="0.75" header="0.3" footer="0.3"/>
  <pageSetup paperSize="9" scale="23" orientation="portrait" r:id="rId1"/>
  <rowBreaks count="20" manualBreakCount="20">
    <brk id="52" max="10" man="1"/>
    <brk id="102" max="10" man="1"/>
    <brk id="152" max="10" man="1"/>
    <brk id="202" max="10" man="1"/>
    <brk id="250" max="10" man="1"/>
    <brk id="300" max="10" man="1"/>
    <brk id="351" max="10" man="1"/>
    <brk id="400" max="10" man="1"/>
    <brk id="445" max="10" man="1"/>
    <brk id="492" max="10" man="1"/>
    <brk id="539" max="10" man="1"/>
    <brk id="585" max="10" man="1"/>
    <brk id="631" max="10" man="1"/>
    <brk id="678" max="10" man="1"/>
    <brk id="722" max="10" man="1"/>
    <brk id="770" max="10" man="1"/>
    <brk id="819" max="10" man="1"/>
    <brk id="865" max="10" man="1"/>
    <brk id="912" max="10" man="1"/>
    <brk id="959" max="10" man="1"/>
  </rowBreaks>
  <colBreaks count="1" manualBreakCount="1">
    <brk id="11"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83E0E-5E55-40EE-8582-8C0FC4332A62}">
  <sheetPr codeName="Hoja2">
    <tabColor rgb="FF92D050"/>
  </sheetPr>
  <dimension ref="A2:AD835"/>
  <sheetViews>
    <sheetView zoomScale="85" zoomScaleNormal="85" workbookViewId="0">
      <pane xSplit="1" ySplit="2" topLeftCell="B29" activePane="bottomRight" state="frozen"/>
      <selection pane="topRight" activeCell="B18" sqref="B18:F18"/>
      <selection pane="bottomLeft" activeCell="B18" sqref="B18:F18"/>
      <selection pane="bottomRight" activeCell="F254" sqref="F254"/>
    </sheetView>
  </sheetViews>
  <sheetFormatPr baseColWidth="10" defaultColWidth="11" defaultRowHeight="15" customHeight="1" x14ac:dyDescent="0.25"/>
  <cols>
    <col min="1" max="2" width="9.28515625" style="95" customWidth="1"/>
    <col min="3" max="3" width="65.28515625" style="95" customWidth="1"/>
    <col min="4" max="4" width="10" style="214" customWidth="1"/>
    <col min="5" max="6" width="23.28515625" style="95" customWidth="1"/>
    <col min="7" max="7" width="22.28515625" style="95" customWidth="1"/>
    <col min="8" max="9" width="14.42578125" style="95" customWidth="1"/>
    <col min="10" max="11" width="9.28515625" style="95" customWidth="1"/>
    <col min="12" max="12" width="47" style="95" customWidth="1"/>
    <col min="13" max="13" width="9.28515625" style="95" customWidth="1"/>
    <col min="14" max="14" width="13.85546875" style="95" customWidth="1"/>
    <col min="15" max="15" width="12.140625" style="95" customWidth="1"/>
    <col min="16" max="29" width="9.28515625" style="95" customWidth="1"/>
    <col min="30" max="30" width="11.42578125" style="178" customWidth="1"/>
    <col min="31" max="16384" width="11" style="95"/>
  </cols>
  <sheetData>
    <row r="2" spans="1:30" ht="12.75" customHeight="1" x14ac:dyDescent="0.25">
      <c r="A2" s="89"/>
      <c r="B2" s="90" t="s">
        <v>43</v>
      </c>
      <c r="C2" s="90" t="s">
        <v>94</v>
      </c>
      <c r="D2" s="91" t="s">
        <v>45</v>
      </c>
      <c r="E2" s="92" t="s">
        <v>95</v>
      </c>
      <c r="F2" s="92" t="s">
        <v>96</v>
      </c>
      <c r="G2" s="92" t="s">
        <v>97</v>
      </c>
      <c r="H2" s="92" t="s">
        <v>96</v>
      </c>
      <c r="I2" s="92" t="s">
        <v>98</v>
      </c>
      <c r="J2" s="89"/>
      <c r="K2" s="524" t="s">
        <v>99</v>
      </c>
      <c r="L2" s="517"/>
      <c r="M2" s="517"/>
      <c r="N2" s="518"/>
      <c r="O2" s="93"/>
      <c r="P2" s="89"/>
      <c r="Q2" s="516" t="s">
        <v>100</v>
      </c>
      <c r="R2" s="517"/>
      <c r="S2" s="517"/>
      <c r="T2" s="517"/>
      <c r="U2" s="517"/>
      <c r="V2" s="518"/>
      <c r="W2" s="89"/>
      <c r="X2" s="516" t="s">
        <v>40</v>
      </c>
      <c r="Y2" s="517"/>
      <c r="Z2" s="517"/>
      <c r="AA2" s="517"/>
      <c r="AB2" s="517"/>
      <c r="AC2" s="518"/>
      <c r="AD2" s="94"/>
    </row>
    <row r="3" spans="1:30" ht="13.5" customHeight="1" x14ac:dyDescent="0.25">
      <c r="B3" s="96" t="s">
        <v>101</v>
      </c>
      <c r="C3" s="97" t="s">
        <v>102</v>
      </c>
      <c r="D3" s="89" t="s">
        <v>57</v>
      </c>
      <c r="E3" s="98">
        <f>120000/6</f>
        <v>20000</v>
      </c>
      <c r="F3" s="99">
        <f>120000/6</f>
        <v>20000</v>
      </c>
      <c r="G3" s="99" t="s">
        <v>103</v>
      </c>
      <c r="H3" s="99">
        <v>20000</v>
      </c>
      <c r="I3" s="100" t="s">
        <v>104</v>
      </c>
      <c r="K3" s="101" t="s">
        <v>43</v>
      </c>
      <c r="L3" s="102" t="s">
        <v>2</v>
      </c>
      <c r="M3" s="101" t="s">
        <v>105</v>
      </c>
      <c r="N3" s="101" t="s">
        <v>106</v>
      </c>
      <c r="O3" s="103"/>
      <c r="Q3" s="101" t="s">
        <v>43</v>
      </c>
      <c r="R3" s="525" t="s">
        <v>44</v>
      </c>
      <c r="S3" s="517"/>
      <c r="T3" s="518"/>
      <c r="U3" s="104" t="s">
        <v>107</v>
      </c>
      <c r="V3" s="101" t="s">
        <v>108</v>
      </c>
      <c r="X3" s="101" t="s">
        <v>43</v>
      </c>
      <c r="Y3" s="525" t="s">
        <v>44</v>
      </c>
      <c r="Z3" s="517"/>
      <c r="AA3" s="518"/>
      <c r="AB3" s="101" t="s">
        <v>45</v>
      </c>
      <c r="AD3" s="105" t="s">
        <v>109</v>
      </c>
    </row>
    <row r="4" spans="1:30" ht="13.5" customHeight="1" x14ac:dyDescent="0.25">
      <c r="B4" s="96" t="s">
        <v>110</v>
      </c>
      <c r="C4" s="106" t="s">
        <v>111</v>
      </c>
      <c r="D4" s="107" t="s">
        <v>112</v>
      </c>
      <c r="E4" s="98">
        <v>77000</v>
      </c>
      <c r="F4" s="98"/>
      <c r="G4" s="98"/>
      <c r="H4" s="98"/>
      <c r="I4" s="98"/>
      <c r="K4" s="108" t="s">
        <v>113</v>
      </c>
      <c r="L4" s="109" t="s">
        <v>114</v>
      </c>
      <c r="M4" s="109"/>
      <c r="N4" s="110"/>
      <c r="O4" s="111"/>
      <c r="Q4" s="112" t="s">
        <v>115</v>
      </c>
      <c r="R4" s="519" t="s">
        <v>116</v>
      </c>
      <c r="S4" s="517"/>
      <c r="T4" s="518"/>
      <c r="U4" s="112" t="s">
        <v>117</v>
      </c>
      <c r="V4" s="113">
        <v>120000</v>
      </c>
      <c r="X4" s="112" t="s">
        <v>48</v>
      </c>
      <c r="Y4" s="519" t="s">
        <v>49</v>
      </c>
      <c r="Z4" s="517"/>
      <c r="AA4" s="518"/>
      <c r="AB4" s="114" t="s">
        <v>50</v>
      </c>
      <c r="AC4" s="112">
        <f t="shared" ref="AC4:AC18" si="0">+AD4*1.095</f>
        <v>24851.463</v>
      </c>
      <c r="AD4" s="115">
        <v>22695.4</v>
      </c>
    </row>
    <row r="5" spans="1:30" ht="13.5" customHeight="1" x14ac:dyDescent="0.25">
      <c r="B5" s="96" t="s">
        <v>118</v>
      </c>
      <c r="C5" s="106" t="s">
        <v>119</v>
      </c>
      <c r="D5" s="107" t="s">
        <v>120</v>
      </c>
      <c r="E5" s="98">
        <v>12714</v>
      </c>
      <c r="F5" s="98"/>
      <c r="G5" s="98"/>
      <c r="H5" s="98"/>
      <c r="I5" s="98"/>
      <c r="K5" s="108" t="s">
        <v>121</v>
      </c>
      <c r="L5" s="109" t="s">
        <v>122</v>
      </c>
      <c r="M5" s="109"/>
      <c r="N5" s="116">
        <f>+AD12</f>
        <v>75651.33</v>
      </c>
      <c r="O5" s="111"/>
      <c r="Q5" s="112" t="s">
        <v>123</v>
      </c>
      <c r="R5" s="519" t="s">
        <v>124</v>
      </c>
      <c r="S5" s="517"/>
      <c r="T5" s="518"/>
      <c r="U5" s="112" t="s">
        <v>125</v>
      </c>
      <c r="V5" s="113">
        <v>1600000</v>
      </c>
      <c r="X5" s="112" t="s">
        <v>53</v>
      </c>
      <c r="Y5" s="519" t="s">
        <v>54</v>
      </c>
      <c r="Z5" s="517"/>
      <c r="AA5" s="518"/>
      <c r="AB5" s="114" t="s">
        <v>50</v>
      </c>
      <c r="AC5" s="112">
        <f t="shared" si="0"/>
        <v>33135.280350000001</v>
      </c>
      <c r="AD5" s="115">
        <v>30260.53</v>
      </c>
    </row>
    <row r="6" spans="1:30" ht="13.5" customHeight="1" x14ac:dyDescent="0.25">
      <c r="B6" s="96" t="s">
        <v>126</v>
      </c>
      <c r="C6" s="106" t="s">
        <v>127</v>
      </c>
      <c r="D6" s="107" t="s">
        <v>120</v>
      </c>
      <c r="E6" s="98">
        <v>800</v>
      </c>
      <c r="F6" s="98"/>
      <c r="G6" s="98"/>
      <c r="H6" s="98"/>
      <c r="I6" s="98"/>
      <c r="K6" s="108" t="s">
        <v>128</v>
      </c>
      <c r="L6" s="109" t="s">
        <v>129</v>
      </c>
      <c r="M6" s="109" t="s">
        <v>130</v>
      </c>
      <c r="N6" s="116">
        <v>31800</v>
      </c>
      <c r="O6" s="111"/>
      <c r="Q6" s="112" t="s">
        <v>131</v>
      </c>
      <c r="R6" s="519" t="s">
        <v>132</v>
      </c>
      <c r="S6" s="517"/>
      <c r="T6" s="518"/>
      <c r="U6" s="112" t="s">
        <v>133</v>
      </c>
      <c r="V6" s="113">
        <v>850000</v>
      </c>
      <c r="X6" s="112" t="s">
        <v>57</v>
      </c>
      <c r="Y6" s="519" t="s">
        <v>58</v>
      </c>
      <c r="Z6" s="517"/>
      <c r="AA6" s="518"/>
      <c r="AB6" s="114" t="s">
        <v>50</v>
      </c>
      <c r="AC6" s="112">
        <f t="shared" si="0"/>
        <v>33135.280350000001</v>
      </c>
      <c r="AD6" s="115">
        <v>30260.53</v>
      </c>
    </row>
    <row r="7" spans="1:30" ht="12.75" customHeight="1" x14ac:dyDescent="0.25">
      <c r="B7" s="96" t="s">
        <v>134</v>
      </c>
      <c r="C7" s="106" t="s">
        <v>135</v>
      </c>
      <c r="D7" s="107" t="s">
        <v>136</v>
      </c>
      <c r="E7" s="98">
        <f>74556/3</f>
        <v>24852</v>
      </c>
      <c r="F7" s="98"/>
      <c r="G7" s="98"/>
      <c r="H7" s="98"/>
      <c r="I7" s="98"/>
      <c r="K7" s="112" t="s">
        <v>137</v>
      </c>
      <c r="L7" s="112" t="s">
        <v>138</v>
      </c>
      <c r="M7" s="109"/>
      <c r="N7" s="116">
        <v>32000</v>
      </c>
      <c r="O7" s="111"/>
      <c r="Q7" s="112" t="s">
        <v>139</v>
      </c>
      <c r="R7" s="519" t="s">
        <v>140</v>
      </c>
      <c r="S7" s="517"/>
      <c r="T7" s="518"/>
      <c r="U7" s="112"/>
      <c r="V7" s="113">
        <v>5000</v>
      </c>
      <c r="X7" s="112" t="s">
        <v>61</v>
      </c>
      <c r="Y7" s="519" t="s">
        <v>62</v>
      </c>
      <c r="Z7" s="517"/>
      <c r="AA7" s="518"/>
      <c r="AB7" s="114" t="s">
        <v>50</v>
      </c>
      <c r="AC7" s="112">
        <f t="shared" si="0"/>
        <v>33135.280350000001</v>
      </c>
      <c r="AD7" s="115">
        <v>30260.53</v>
      </c>
    </row>
    <row r="8" spans="1:30" ht="13.5" customHeight="1" x14ac:dyDescent="0.25">
      <c r="B8" s="96" t="s">
        <v>141</v>
      </c>
      <c r="C8" s="106" t="s">
        <v>142</v>
      </c>
      <c r="D8" s="107" t="s">
        <v>57</v>
      </c>
      <c r="E8" s="98">
        <v>89049</v>
      </c>
      <c r="F8" s="98"/>
      <c r="G8" s="98"/>
      <c r="H8" s="98"/>
      <c r="I8" s="98"/>
      <c r="K8" s="112" t="s">
        <v>143</v>
      </c>
      <c r="L8" s="109" t="s">
        <v>144</v>
      </c>
      <c r="M8" s="109"/>
      <c r="N8" s="116">
        <v>12000</v>
      </c>
      <c r="O8" s="111"/>
      <c r="Q8" s="112" t="s">
        <v>145</v>
      </c>
      <c r="R8" s="519" t="s">
        <v>146</v>
      </c>
      <c r="S8" s="517"/>
      <c r="T8" s="518"/>
      <c r="U8" s="112" t="s">
        <v>147</v>
      </c>
      <c r="V8" s="113">
        <v>1200000</v>
      </c>
      <c r="X8" s="112" t="s">
        <v>65</v>
      </c>
      <c r="Y8" s="519" t="s">
        <v>66</v>
      </c>
      <c r="Z8" s="517"/>
      <c r="AA8" s="518"/>
      <c r="AB8" s="114" t="s">
        <v>50</v>
      </c>
      <c r="AC8" s="112">
        <f t="shared" si="0"/>
        <v>44697.9</v>
      </c>
      <c r="AD8" s="115">
        <v>40820</v>
      </c>
    </row>
    <row r="9" spans="1:30" ht="13.5" customHeight="1" x14ac:dyDescent="0.25">
      <c r="B9" s="96" t="s">
        <v>148</v>
      </c>
      <c r="C9" s="106" t="s">
        <v>149</v>
      </c>
      <c r="D9" s="107" t="s">
        <v>120</v>
      </c>
      <c r="E9" s="98">
        <v>8900</v>
      </c>
      <c r="F9" s="98"/>
      <c r="G9" s="98"/>
      <c r="H9" s="98"/>
      <c r="I9" s="98"/>
      <c r="K9" s="109" t="s">
        <v>150</v>
      </c>
      <c r="L9" s="109" t="s">
        <v>151</v>
      </c>
      <c r="M9" s="109"/>
      <c r="N9" s="116">
        <v>60000</v>
      </c>
      <c r="O9" s="117"/>
      <c r="Q9" s="112" t="s">
        <v>152</v>
      </c>
      <c r="R9" s="118" t="s">
        <v>153</v>
      </c>
      <c r="S9" s="119"/>
      <c r="T9" s="120"/>
      <c r="U9" s="112" t="s">
        <v>147</v>
      </c>
      <c r="V9" s="113">
        <v>5000</v>
      </c>
      <c r="X9" s="112" t="s">
        <v>68</v>
      </c>
      <c r="Y9" s="519" t="s">
        <v>69</v>
      </c>
      <c r="Z9" s="517"/>
      <c r="AA9" s="518"/>
      <c r="AB9" s="114" t="s">
        <v>50</v>
      </c>
      <c r="AC9" s="112">
        <f t="shared" si="0"/>
        <v>24851.463</v>
      </c>
      <c r="AD9" s="115">
        <v>22695.4</v>
      </c>
    </row>
    <row r="10" spans="1:30" ht="13.5" customHeight="1" x14ac:dyDescent="0.25">
      <c r="B10" s="96" t="s">
        <v>154</v>
      </c>
      <c r="C10" s="106" t="s">
        <v>155</v>
      </c>
      <c r="D10" s="107" t="s">
        <v>120</v>
      </c>
      <c r="E10" s="98">
        <v>3500</v>
      </c>
      <c r="F10" s="98"/>
      <c r="G10" s="98"/>
      <c r="H10" s="98"/>
      <c r="I10" s="98"/>
      <c r="K10" s="109" t="s">
        <v>156</v>
      </c>
      <c r="L10" s="121" t="s">
        <v>157</v>
      </c>
      <c r="M10" s="109"/>
      <c r="N10" s="122">
        <f>22815*1.05</f>
        <v>23955.75</v>
      </c>
      <c r="O10" s="117"/>
      <c r="Q10" s="112" t="s">
        <v>158</v>
      </c>
      <c r="R10" s="519" t="s">
        <v>159</v>
      </c>
      <c r="S10" s="517"/>
      <c r="T10" s="518"/>
      <c r="U10" s="112" t="s">
        <v>160</v>
      </c>
      <c r="V10" s="113">
        <v>82</v>
      </c>
      <c r="X10" s="112" t="s">
        <v>71</v>
      </c>
      <c r="Y10" s="519" t="s">
        <v>72</v>
      </c>
      <c r="Z10" s="517"/>
      <c r="AA10" s="518"/>
      <c r="AB10" s="114" t="s">
        <v>50</v>
      </c>
      <c r="AC10" s="112">
        <f t="shared" si="0"/>
        <v>57986.743349999997</v>
      </c>
      <c r="AD10" s="115">
        <f>+AD4+AD5</f>
        <v>52955.93</v>
      </c>
    </row>
    <row r="11" spans="1:30" ht="15.75" customHeight="1" x14ac:dyDescent="0.25">
      <c r="B11" s="96" t="s">
        <v>161</v>
      </c>
      <c r="C11" s="106" t="s">
        <v>162</v>
      </c>
      <c r="D11" s="107" t="s">
        <v>120</v>
      </c>
      <c r="E11" s="98">
        <v>2042</v>
      </c>
      <c r="F11" s="98"/>
      <c r="G11" s="98"/>
      <c r="H11" s="98"/>
      <c r="I11" s="98"/>
      <c r="K11" s="109" t="s">
        <v>163</v>
      </c>
      <c r="L11" s="123" t="s">
        <v>164</v>
      </c>
      <c r="M11" s="109"/>
      <c r="N11" s="122">
        <v>60000</v>
      </c>
      <c r="O11" s="111"/>
      <c r="Q11" s="112" t="s">
        <v>165</v>
      </c>
      <c r="R11" s="519" t="s">
        <v>166</v>
      </c>
      <c r="S11" s="517"/>
      <c r="T11" s="518"/>
      <c r="U11" s="112">
        <v>1</v>
      </c>
      <c r="V11" s="124">
        <v>1400</v>
      </c>
      <c r="X11" s="112" t="s">
        <v>74</v>
      </c>
      <c r="Y11" s="519" t="s">
        <v>75</v>
      </c>
      <c r="Z11" s="517"/>
      <c r="AA11" s="518"/>
      <c r="AB11" s="114" t="s">
        <v>50</v>
      </c>
      <c r="AC11" s="112">
        <f t="shared" si="0"/>
        <v>57986.743349999997</v>
      </c>
      <c r="AD11" s="115">
        <f>+AD4+AD7</f>
        <v>52955.93</v>
      </c>
    </row>
    <row r="12" spans="1:30" ht="12.75" customHeight="1" x14ac:dyDescent="0.25">
      <c r="B12" s="96" t="s">
        <v>167</v>
      </c>
      <c r="C12" s="106" t="s">
        <v>168</v>
      </c>
      <c r="D12" s="107" t="s">
        <v>120</v>
      </c>
      <c r="E12" s="98">
        <v>1150</v>
      </c>
      <c r="F12" s="98"/>
      <c r="G12" s="98"/>
      <c r="H12" s="98"/>
      <c r="I12" s="98"/>
      <c r="J12" s="125"/>
      <c r="K12" s="109" t="s">
        <v>169</v>
      </c>
      <c r="L12" s="109" t="s">
        <v>170</v>
      </c>
      <c r="M12" s="109" t="s">
        <v>171</v>
      </c>
      <c r="N12" s="126">
        <v>12000</v>
      </c>
      <c r="O12" s="127"/>
      <c r="Q12" s="112"/>
      <c r="R12" s="516"/>
      <c r="S12" s="517"/>
      <c r="T12" s="518"/>
      <c r="U12" s="112"/>
      <c r="V12" s="112"/>
      <c r="X12" s="112" t="s">
        <v>77</v>
      </c>
      <c r="Y12" s="519" t="s">
        <v>78</v>
      </c>
      <c r="Z12" s="517"/>
      <c r="AA12" s="518"/>
      <c r="AB12" s="114" t="s">
        <v>50</v>
      </c>
      <c r="AC12" s="112">
        <f t="shared" si="0"/>
        <v>82838.206349999993</v>
      </c>
      <c r="AD12" s="115">
        <f>+AD5+AD4*2</f>
        <v>75651.33</v>
      </c>
    </row>
    <row r="13" spans="1:30" ht="12.75" customHeight="1" x14ac:dyDescent="0.25">
      <c r="B13" s="96" t="s">
        <v>172</v>
      </c>
      <c r="C13" s="106" t="s">
        <v>173</v>
      </c>
      <c r="D13" s="107" t="s">
        <v>136</v>
      </c>
      <c r="E13" s="98">
        <v>10550</v>
      </c>
      <c r="F13" s="98"/>
      <c r="G13" s="98"/>
      <c r="H13" s="98"/>
      <c r="I13" s="98"/>
      <c r="K13" s="109" t="s">
        <v>174</v>
      </c>
      <c r="L13" s="109" t="s">
        <v>175</v>
      </c>
      <c r="M13" s="109"/>
      <c r="N13" s="126">
        <f>31500+10500</f>
        <v>42000</v>
      </c>
      <c r="O13" s="128"/>
      <c r="Q13" s="112"/>
      <c r="R13" s="516"/>
      <c r="S13" s="517"/>
      <c r="T13" s="518"/>
      <c r="U13" s="112"/>
      <c r="V13" s="112"/>
      <c r="X13" s="112" t="s">
        <v>80</v>
      </c>
      <c r="Y13" s="519" t="s">
        <v>81</v>
      </c>
      <c r="Z13" s="517"/>
      <c r="AA13" s="518"/>
      <c r="AB13" s="114" t="s">
        <v>50</v>
      </c>
      <c r="AC13" s="112">
        <f t="shared" si="0"/>
        <v>82838.206349999993</v>
      </c>
      <c r="AD13" s="115">
        <v>75651.33</v>
      </c>
    </row>
    <row r="14" spans="1:30" ht="13.5" customHeight="1" x14ac:dyDescent="0.25">
      <c r="B14" s="96" t="s">
        <v>176</v>
      </c>
      <c r="C14" s="106" t="s">
        <v>177</v>
      </c>
      <c r="D14" s="107" t="s">
        <v>120</v>
      </c>
      <c r="E14" s="98">
        <v>1200</v>
      </c>
      <c r="F14" s="98"/>
      <c r="G14" s="98"/>
      <c r="H14" s="98"/>
      <c r="I14" s="98"/>
      <c r="K14" s="129" t="s">
        <v>178</v>
      </c>
      <c r="L14" s="109" t="s">
        <v>179</v>
      </c>
      <c r="M14" s="109"/>
      <c r="N14" s="126">
        <v>5200</v>
      </c>
      <c r="O14" s="128"/>
      <c r="Q14" s="112"/>
      <c r="R14" s="516"/>
      <c r="S14" s="517"/>
      <c r="T14" s="518"/>
      <c r="U14" s="112"/>
      <c r="V14" s="112"/>
      <c r="X14" s="112" t="s">
        <v>82</v>
      </c>
      <c r="Y14" s="519" t="s">
        <v>83</v>
      </c>
      <c r="Z14" s="517"/>
      <c r="AA14" s="518"/>
      <c r="AB14" s="114" t="s">
        <v>50</v>
      </c>
      <c r="AC14" s="112">
        <f t="shared" si="0"/>
        <v>107689.66935000001</v>
      </c>
      <c r="AD14" s="115">
        <f>+AD5+AD4*3</f>
        <v>98346.73000000001</v>
      </c>
    </row>
    <row r="15" spans="1:30" ht="12.75" customHeight="1" x14ac:dyDescent="0.25">
      <c r="B15" s="96" t="s">
        <v>180</v>
      </c>
      <c r="C15" s="112" t="s">
        <v>181</v>
      </c>
      <c r="D15" s="107" t="s">
        <v>53</v>
      </c>
      <c r="E15" s="98">
        <v>5500</v>
      </c>
      <c r="F15" s="98"/>
      <c r="G15" s="98"/>
      <c r="H15" s="98"/>
      <c r="I15" s="98"/>
      <c r="K15" s="109" t="s">
        <v>182</v>
      </c>
      <c r="L15" s="130" t="s">
        <v>183</v>
      </c>
      <c r="M15" s="131" t="s">
        <v>184</v>
      </c>
      <c r="N15" s="132">
        <f>6000*7</f>
        <v>42000</v>
      </c>
      <c r="O15" s="128"/>
      <c r="Q15" s="112"/>
      <c r="R15" s="516"/>
      <c r="S15" s="517"/>
      <c r="T15" s="518"/>
      <c r="U15" s="112"/>
      <c r="V15" s="112"/>
      <c r="X15" s="112" t="s">
        <v>84</v>
      </c>
      <c r="Y15" s="519" t="s">
        <v>85</v>
      </c>
      <c r="Z15" s="517"/>
      <c r="AA15" s="518"/>
      <c r="AB15" s="114" t="s">
        <v>50</v>
      </c>
      <c r="AC15" s="112">
        <f t="shared" si="0"/>
        <v>132541.13235</v>
      </c>
      <c r="AD15" s="115">
        <f>+AD5+AD4*4</f>
        <v>121042.13</v>
      </c>
    </row>
    <row r="16" spans="1:30" ht="13.5" customHeight="1" x14ac:dyDescent="0.3">
      <c r="B16" s="96" t="s">
        <v>185</v>
      </c>
      <c r="C16" s="106" t="s">
        <v>186</v>
      </c>
      <c r="D16" s="107" t="s">
        <v>136</v>
      </c>
      <c r="E16" s="98">
        <f>68800/3</f>
        <v>22933.333333333332</v>
      </c>
      <c r="F16" s="98"/>
      <c r="G16" s="98"/>
      <c r="H16" s="98"/>
      <c r="I16" s="98"/>
      <c r="K16" s="109" t="s">
        <v>187</v>
      </c>
      <c r="L16" s="109" t="s">
        <v>188</v>
      </c>
      <c r="M16" s="109" t="s">
        <v>189</v>
      </c>
      <c r="N16" s="116">
        <v>102100</v>
      </c>
      <c r="O16" s="128"/>
      <c r="Q16" s="112"/>
      <c r="R16" s="516"/>
      <c r="S16" s="517"/>
      <c r="T16" s="518"/>
      <c r="U16" s="112"/>
      <c r="V16" s="112"/>
      <c r="X16" s="112" t="s">
        <v>86</v>
      </c>
      <c r="Y16" s="519" t="s">
        <v>87</v>
      </c>
      <c r="Z16" s="517"/>
      <c r="AA16" s="518"/>
      <c r="AB16" s="114" t="s">
        <v>50</v>
      </c>
      <c r="AC16" s="112">
        <f t="shared" si="0"/>
        <v>182244.05835000001</v>
      </c>
      <c r="AD16" s="115">
        <f>+AD5+AD4*6</f>
        <v>166432.93000000002</v>
      </c>
    </row>
    <row r="17" spans="2:30" ht="13.5" customHeight="1" x14ac:dyDescent="0.3">
      <c r="B17" s="96" t="s">
        <v>190</v>
      </c>
      <c r="C17" s="106" t="s">
        <v>191</v>
      </c>
      <c r="D17" s="107" t="s">
        <v>120</v>
      </c>
      <c r="E17" s="98">
        <v>8032</v>
      </c>
      <c r="F17" s="98"/>
      <c r="G17" s="98"/>
      <c r="H17" s="98"/>
      <c r="I17" s="98"/>
      <c r="K17" s="109" t="s">
        <v>192</v>
      </c>
      <c r="L17" s="109" t="s">
        <v>193</v>
      </c>
      <c r="M17" s="109"/>
      <c r="N17" s="133">
        <v>5780</v>
      </c>
      <c r="O17" s="128"/>
      <c r="Q17" s="112"/>
      <c r="R17" s="516"/>
      <c r="S17" s="517"/>
      <c r="T17" s="518"/>
      <c r="U17" s="112"/>
      <c r="V17" s="112"/>
      <c r="X17" s="112" t="s">
        <v>88</v>
      </c>
      <c r="Y17" s="519" t="s">
        <v>89</v>
      </c>
      <c r="Z17" s="517"/>
      <c r="AA17" s="518"/>
      <c r="AB17" s="114" t="s">
        <v>50</v>
      </c>
      <c r="AC17" s="112">
        <f t="shared" si="0"/>
        <v>248514.61905000001</v>
      </c>
      <c r="AD17" s="115">
        <f>+AD5*3+AD4*6</f>
        <v>226953.99000000002</v>
      </c>
    </row>
    <row r="18" spans="2:30" s="138" customFormat="1" ht="52.5" customHeight="1" x14ac:dyDescent="0.25">
      <c r="B18" s="134" t="s">
        <v>194</v>
      </c>
      <c r="C18" s="135" t="s">
        <v>195</v>
      </c>
      <c r="D18" s="136" t="s">
        <v>120</v>
      </c>
      <c r="E18" s="137">
        <v>3300</v>
      </c>
      <c r="F18" s="137"/>
      <c r="G18" s="137"/>
      <c r="H18" s="137"/>
      <c r="I18" s="137"/>
      <c r="K18" s="102" t="s">
        <v>196</v>
      </c>
      <c r="L18" s="139" t="s">
        <v>197</v>
      </c>
      <c r="M18" s="102"/>
      <c r="N18" s="140">
        <f>550000</f>
        <v>550000</v>
      </c>
      <c r="O18" s="141"/>
      <c r="Q18" s="142"/>
      <c r="R18" s="520"/>
      <c r="S18" s="521"/>
      <c r="T18" s="522"/>
      <c r="U18" s="142"/>
      <c r="V18" s="142"/>
      <c r="X18" s="142" t="s">
        <v>90</v>
      </c>
      <c r="Y18" s="523" t="s">
        <v>91</v>
      </c>
      <c r="Z18" s="521"/>
      <c r="AA18" s="522"/>
      <c r="AB18" s="143" t="s">
        <v>50</v>
      </c>
      <c r="AC18" s="142">
        <f t="shared" si="0"/>
        <v>94400.826000000001</v>
      </c>
      <c r="AD18" s="144">
        <f>+AD8+AD9*2</f>
        <v>86210.8</v>
      </c>
    </row>
    <row r="19" spans="2:30" ht="12.75" customHeight="1" x14ac:dyDescent="0.25">
      <c r="B19" s="96" t="s">
        <v>198</v>
      </c>
      <c r="C19" s="106" t="s">
        <v>199</v>
      </c>
      <c r="D19" s="107" t="s">
        <v>120</v>
      </c>
      <c r="E19" s="98">
        <v>6900</v>
      </c>
      <c r="F19" s="98"/>
      <c r="G19" s="98"/>
      <c r="H19" s="98"/>
      <c r="I19" s="98"/>
      <c r="K19" s="145" t="s">
        <v>200</v>
      </c>
      <c r="L19" s="145" t="s">
        <v>201</v>
      </c>
      <c r="M19" s="109"/>
      <c r="N19" s="146">
        <v>1229900</v>
      </c>
      <c r="O19" s="128"/>
      <c r="Q19" s="112"/>
      <c r="R19" s="107"/>
      <c r="S19" s="147"/>
      <c r="T19" s="148"/>
      <c r="U19" s="112"/>
      <c r="V19" s="112"/>
      <c r="X19" s="112" t="s">
        <v>92</v>
      </c>
      <c r="Y19" s="118" t="s">
        <v>93</v>
      </c>
      <c r="Z19" s="149"/>
      <c r="AA19" s="150"/>
      <c r="AB19" s="114" t="s">
        <v>50</v>
      </c>
      <c r="AC19" s="112">
        <f>+AD19*1.095</f>
        <v>140824.9497</v>
      </c>
      <c r="AD19" s="115">
        <f>+AD9+AD10*2</f>
        <v>128607.26000000001</v>
      </c>
    </row>
    <row r="20" spans="2:30" ht="13.5" customHeight="1" x14ac:dyDescent="0.25">
      <c r="B20" s="96" t="s">
        <v>202</v>
      </c>
      <c r="C20" s="106" t="s">
        <v>203</v>
      </c>
      <c r="D20" s="107" t="s">
        <v>136</v>
      </c>
      <c r="E20" s="98">
        <f>43155/3</f>
        <v>14385</v>
      </c>
      <c r="F20" s="98"/>
      <c r="G20" s="98"/>
      <c r="H20" s="98"/>
      <c r="I20" s="98"/>
      <c r="K20" s="109" t="s">
        <v>204</v>
      </c>
      <c r="L20" s="109" t="s">
        <v>205</v>
      </c>
      <c r="M20" s="109"/>
      <c r="N20" s="122">
        <v>35000</v>
      </c>
      <c r="O20" s="151"/>
      <c r="Q20" s="112"/>
      <c r="R20" s="516"/>
      <c r="S20" s="517"/>
      <c r="T20" s="518"/>
      <c r="U20" s="112"/>
      <c r="V20" s="112"/>
      <c r="X20" s="112"/>
      <c r="Y20" s="519"/>
      <c r="Z20" s="517"/>
      <c r="AA20" s="518"/>
      <c r="AB20" s="114"/>
      <c r="AC20" s="112"/>
      <c r="AD20" s="152"/>
    </row>
    <row r="21" spans="2:30" ht="13.5" customHeight="1" x14ac:dyDescent="0.25">
      <c r="B21" s="96" t="s">
        <v>206</v>
      </c>
      <c r="C21" s="106" t="s">
        <v>207</v>
      </c>
      <c r="D21" s="107" t="s">
        <v>120</v>
      </c>
      <c r="E21" s="98">
        <v>2350</v>
      </c>
      <c r="F21" s="98"/>
      <c r="G21" s="98"/>
      <c r="H21" s="98"/>
      <c r="I21" s="98"/>
      <c r="K21" s="145" t="s">
        <v>208</v>
      </c>
      <c r="L21" s="145" t="s">
        <v>209</v>
      </c>
      <c r="M21" s="109"/>
      <c r="N21" s="146">
        <v>38000</v>
      </c>
      <c r="O21" s="128"/>
      <c r="Q21" s="112"/>
      <c r="R21" s="516"/>
      <c r="S21" s="517"/>
      <c r="T21" s="518"/>
      <c r="U21" s="112"/>
      <c r="V21" s="112"/>
      <c r="X21" s="112"/>
      <c r="Y21" s="519"/>
      <c r="Z21" s="517"/>
      <c r="AA21" s="518"/>
      <c r="AB21" s="114"/>
      <c r="AC21" s="112"/>
      <c r="AD21" s="152"/>
    </row>
    <row r="22" spans="2:30" ht="13.5" customHeight="1" x14ac:dyDescent="0.25">
      <c r="B22" s="96" t="s">
        <v>210</v>
      </c>
      <c r="C22" s="106" t="s">
        <v>211</v>
      </c>
      <c r="D22" s="107" t="s">
        <v>120</v>
      </c>
      <c r="E22" s="98">
        <v>7900</v>
      </c>
      <c r="F22" s="98"/>
      <c r="G22" s="98"/>
      <c r="H22" s="98"/>
      <c r="I22" s="98"/>
      <c r="K22" s="153" t="s">
        <v>212</v>
      </c>
      <c r="L22" s="153" t="s">
        <v>213</v>
      </c>
      <c r="M22" s="109"/>
      <c r="N22" s="154">
        <v>55000</v>
      </c>
      <c r="O22" s="128"/>
      <c r="Q22" s="112"/>
      <c r="R22" s="516"/>
      <c r="S22" s="517"/>
      <c r="T22" s="518"/>
      <c r="U22" s="112"/>
      <c r="V22" s="112"/>
      <c r="X22" s="112"/>
      <c r="Y22" s="519"/>
      <c r="Z22" s="517"/>
      <c r="AA22" s="518"/>
      <c r="AB22" s="114"/>
      <c r="AC22" s="112"/>
      <c r="AD22" s="152"/>
    </row>
    <row r="23" spans="2:30" ht="12.75" customHeight="1" x14ac:dyDescent="0.25">
      <c r="B23" s="96" t="s">
        <v>214</v>
      </c>
      <c r="C23" s="106" t="s">
        <v>215</v>
      </c>
      <c r="D23" s="107" t="s">
        <v>120</v>
      </c>
      <c r="E23" s="98">
        <v>4000</v>
      </c>
      <c r="F23" s="98"/>
      <c r="G23" s="98"/>
      <c r="H23" s="98"/>
      <c r="I23" s="98"/>
      <c r="K23" s="153" t="s">
        <v>216</v>
      </c>
      <c r="L23" s="153" t="s">
        <v>217</v>
      </c>
      <c r="M23" s="109"/>
      <c r="N23" s="154">
        <v>662400</v>
      </c>
      <c r="O23" s="128"/>
      <c r="Q23" s="112"/>
      <c r="R23" s="516"/>
      <c r="S23" s="517"/>
      <c r="T23" s="518"/>
      <c r="U23" s="112"/>
      <c r="V23" s="112"/>
      <c r="X23" s="112"/>
      <c r="Y23" s="519"/>
      <c r="Z23" s="517"/>
      <c r="AA23" s="518"/>
      <c r="AB23" s="114"/>
      <c r="AC23" s="112"/>
      <c r="AD23" s="152"/>
    </row>
    <row r="24" spans="2:30" ht="12.75" customHeight="1" x14ac:dyDescent="0.25">
      <c r="B24" s="109" t="s">
        <v>218</v>
      </c>
      <c r="C24" s="106" t="s">
        <v>219</v>
      </c>
      <c r="D24" s="107" t="s">
        <v>53</v>
      </c>
      <c r="E24" s="98">
        <v>19900</v>
      </c>
      <c r="F24" s="98"/>
      <c r="G24" s="98"/>
      <c r="H24" s="98"/>
      <c r="I24" s="98"/>
      <c r="K24" s="155" t="s">
        <v>220</v>
      </c>
      <c r="L24" s="155" t="s">
        <v>221</v>
      </c>
      <c r="M24" s="156"/>
      <c r="N24" s="157">
        <v>120000</v>
      </c>
      <c r="O24" s="128"/>
      <c r="Q24" s="112"/>
      <c r="R24" s="516"/>
      <c r="S24" s="517"/>
      <c r="T24" s="518"/>
      <c r="U24" s="112"/>
      <c r="V24" s="112"/>
      <c r="X24" s="112"/>
      <c r="Y24" s="519"/>
      <c r="Z24" s="517"/>
      <c r="AA24" s="518"/>
      <c r="AB24" s="114"/>
      <c r="AC24" s="112"/>
      <c r="AD24" s="152"/>
    </row>
    <row r="25" spans="2:30" ht="15" customHeight="1" x14ac:dyDescent="0.25">
      <c r="B25" s="96" t="s">
        <v>222</v>
      </c>
      <c r="C25" s="112" t="s">
        <v>223</v>
      </c>
      <c r="D25" s="107" t="s">
        <v>120</v>
      </c>
      <c r="E25" s="98">
        <v>53778</v>
      </c>
      <c r="F25" s="98"/>
      <c r="G25" s="98"/>
      <c r="H25" s="98"/>
      <c r="I25" s="98"/>
      <c r="K25" s="153" t="s">
        <v>224</v>
      </c>
      <c r="L25" s="153" t="s">
        <v>225</v>
      </c>
      <c r="N25" s="158">
        <v>50000</v>
      </c>
      <c r="O25" s="128"/>
      <c r="Q25" s="112"/>
      <c r="R25" s="107"/>
      <c r="S25" s="147"/>
      <c r="T25" s="148"/>
      <c r="U25" s="112"/>
      <c r="V25" s="112"/>
      <c r="X25" s="112"/>
      <c r="Y25" s="118"/>
      <c r="Z25" s="149"/>
      <c r="AA25" s="150"/>
      <c r="AB25" s="114"/>
      <c r="AC25" s="112"/>
      <c r="AD25" s="152"/>
    </row>
    <row r="26" spans="2:30" ht="12.75" customHeight="1" x14ac:dyDescent="0.25">
      <c r="B26" s="96" t="s">
        <v>226</v>
      </c>
      <c r="C26" s="112" t="s">
        <v>227</v>
      </c>
      <c r="D26" s="107" t="s">
        <v>136</v>
      </c>
      <c r="E26" s="98">
        <f>149000/3</f>
        <v>49666.666666666664</v>
      </c>
      <c r="F26" s="98"/>
      <c r="G26" s="98"/>
      <c r="H26" s="98"/>
      <c r="I26" s="98"/>
      <c r="K26" s="153" t="s">
        <v>228</v>
      </c>
      <c r="L26" s="153" t="s">
        <v>229</v>
      </c>
      <c r="M26" s="159" t="s">
        <v>120</v>
      </c>
      <c r="N26" s="160">
        <v>37000</v>
      </c>
      <c r="O26" s="128"/>
      <c r="Q26" s="112"/>
      <c r="R26" s="107"/>
      <c r="S26" s="147"/>
      <c r="T26" s="148"/>
      <c r="U26" s="112"/>
      <c r="V26" s="112"/>
      <c r="X26" s="112"/>
      <c r="Y26" s="118"/>
      <c r="Z26" s="149"/>
      <c r="AA26" s="150"/>
      <c r="AB26" s="114"/>
      <c r="AC26" s="112"/>
      <c r="AD26" s="152"/>
    </row>
    <row r="27" spans="2:30" ht="15" customHeight="1" x14ac:dyDescent="0.25">
      <c r="B27" s="96" t="s">
        <v>230</v>
      </c>
      <c r="C27" s="161" t="s">
        <v>231</v>
      </c>
      <c r="D27" s="107" t="s">
        <v>120</v>
      </c>
      <c r="E27" s="98">
        <v>6128500</v>
      </c>
      <c r="F27" s="98"/>
      <c r="G27" s="98"/>
      <c r="H27" s="98"/>
      <c r="I27" s="98"/>
      <c r="K27" s="156" t="s">
        <v>232</v>
      </c>
      <c r="L27" s="156" t="s">
        <v>233</v>
      </c>
      <c r="M27" s="109"/>
      <c r="N27" s="160">
        <f>25000*1.2</f>
        <v>30000</v>
      </c>
      <c r="O27" s="128"/>
      <c r="Q27" s="112"/>
      <c r="R27" s="107"/>
      <c r="S27" s="147"/>
      <c r="T27" s="148"/>
      <c r="U27" s="112"/>
      <c r="V27" s="112"/>
      <c r="X27" s="112"/>
      <c r="Y27" s="118"/>
      <c r="Z27" s="149"/>
      <c r="AA27" s="150"/>
      <c r="AB27" s="114"/>
      <c r="AC27" s="112"/>
      <c r="AD27" s="152"/>
    </row>
    <row r="28" spans="2:30" ht="14.25" customHeight="1" x14ac:dyDescent="0.25">
      <c r="B28" s="96" t="s">
        <v>234</v>
      </c>
      <c r="C28" s="161" t="s">
        <v>235</v>
      </c>
      <c r="D28" s="107" t="s">
        <v>120</v>
      </c>
      <c r="E28" s="98"/>
      <c r="F28" s="98"/>
      <c r="G28" s="98"/>
      <c r="H28" s="98"/>
      <c r="I28" s="98"/>
      <c r="K28" s="109" t="s">
        <v>236</v>
      </c>
      <c r="L28" s="109" t="s">
        <v>237</v>
      </c>
      <c r="M28" s="109"/>
      <c r="N28" s="133">
        <v>96712</v>
      </c>
      <c r="O28" s="128"/>
      <c r="Q28" s="112"/>
      <c r="R28" s="107"/>
      <c r="S28" s="147"/>
      <c r="T28" s="148"/>
      <c r="U28" s="112"/>
      <c r="V28" s="112"/>
      <c r="X28" s="112"/>
      <c r="Y28" s="118"/>
      <c r="Z28" s="149"/>
      <c r="AA28" s="150"/>
      <c r="AB28" s="114"/>
      <c r="AC28" s="112"/>
      <c r="AD28" s="152"/>
    </row>
    <row r="29" spans="2:30" ht="27" customHeight="1" x14ac:dyDescent="0.25">
      <c r="B29" s="96" t="s">
        <v>238</v>
      </c>
      <c r="C29" s="161" t="s">
        <v>239</v>
      </c>
      <c r="D29" s="107" t="s">
        <v>120</v>
      </c>
      <c r="E29" s="98"/>
      <c r="F29" s="98"/>
      <c r="G29" s="98"/>
      <c r="H29" s="98"/>
      <c r="I29" s="98"/>
      <c r="K29" s="109" t="s">
        <v>240</v>
      </c>
      <c r="L29" s="109" t="s">
        <v>241</v>
      </c>
      <c r="M29" s="109" t="s">
        <v>120</v>
      </c>
      <c r="N29" s="162">
        <f>3034000/15</f>
        <v>202266.66666666666</v>
      </c>
      <c r="O29" s="128"/>
      <c r="Q29" s="112"/>
      <c r="R29" s="107"/>
      <c r="S29" s="147"/>
      <c r="T29" s="148"/>
      <c r="U29" s="112"/>
      <c r="V29" s="112"/>
      <c r="X29" s="112"/>
      <c r="Y29" s="118"/>
      <c r="Z29" s="149"/>
      <c r="AA29" s="150"/>
      <c r="AB29" s="114"/>
      <c r="AC29" s="112"/>
      <c r="AD29" s="152"/>
    </row>
    <row r="30" spans="2:30" ht="12.75" customHeight="1" x14ac:dyDescent="0.25">
      <c r="B30" s="96" t="s">
        <v>242</v>
      </c>
      <c r="C30" s="161" t="s">
        <v>243</v>
      </c>
      <c r="D30" s="107" t="s">
        <v>120</v>
      </c>
      <c r="E30" s="98"/>
      <c r="F30" s="98"/>
      <c r="G30" s="98"/>
      <c r="H30" s="98"/>
      <c r="I30" s="98"/>
      <c r="K30" s="109" t="s">
        <v>244</v>
      </c>
      <c r="L30" s="109" t="s">
        <v>245</v>
      </c>
      <c r="M30" s="109" t="s">
        <v>56</v>
      </c>
      <c r="N30" s="109">
        <v>86300</v>
      </c>
      <c r="O30" s="128"/>
      <c r="Q30" s="112"/>
      <c r="R30" s="107"/>
      <c r="S30" s="147"/>
      <c r="T30" s="148"/>
      <c r="U30" s="112"/>
      <c r="V30" s="112"/>
      <c r="X30" s="112"/>
      <c r="Y30" s="118"/>
      <c r="Z30" s="149"/>
      <c r="AA30" s="150"/>
      <c r="AB30" s="114"/>
      <c r="AC30" s="112"/>
      <c r="AD30" s="152"/>
    </row>
    <row r="31" spans="2:30" ht="12.75" customHeight="1" x14ac:dyDescent="0.25">
      <c r="B31" s="96" t="s">
        <v>246</v>
      </c>
      <c r="C31" s="106" t="s">
        <v>247</v>
      </c>
      <c r="D31" s="107" t="s">
        <v>120</v>
      </c>
      <c r="E31" s="98">
        <v>19334094</v>
      </c>
      <c r="F31" s="98"/>
      <c r="G31" s="98"/>
      <c r="H31" s="98"/>
      <c r="I31" s="98"/>
      <c r="K31" s="109" t="s">
        <v>248</v>
      </c>
      <c r="L31" s="109" t="s">
        <v>249</v>
      </c>
      <c r="M31" s="109" t="s">
        <v>56</v>
      </c>
      <c r="N31" s="109">
        <v>16500</v>
      </c>
      <c r="O31" s="128"/>
      <c r="Q31" s="112"/>
      <c r="R31" s="107"/>
      <c r="S31" s="147"/>
      <c r="T31" s="148"/>
      <c r="U31" s="112"/>
      <c r="V31" s="112"/>
      <c r="X31" s="112"/>
      <c r="Y31" s="118"/>
      <c r="Z31" s="149"/>
      <c r="AA31" s="150"/>
      <c r="AB31" s="114"/>
      <c r="AC31" s="112"/>
      <c r="AD31" s="152"/>
    </row>
    <row r="32" spans="2:30" ht="12.75" customHeight="1" x14ac:dyDescent="0.25">
      <c r="B32" s="96" t="s">
        <v>250</v>
      </c>
      <c r="C32" s="161" t="s">
        <v>251</v>
      </c>
      <c r="D32" s="107" t="s">
        <v>120</v>
      </c>
      <c r="E32" s="98"/>
      <c r="F32" s="98"/>
      <c r="G32" s="98"/>
      <c r="H32" s="98"/>
      <c r="I32" s="98"/>
      <c r="K32" s="109" t="s">
        <v>252</v>
      </c>
      <c r="L32" s="109" t="s">
        <v>253</v>
      </c>
      <c r="M32" s="109" t="s">
        <v>56</v>
      </c>
      <c r="N32" s="109">
        <v>123700</v>
      </c>
      <c r="O32" s="128"/>
      <c r="Q32" s="112"/>
      <c r="R32" s="107"/>
      <c r="S32" s="147"/>
      <c r="T32" s="148"/>
      <c r="U32" s="112"/>
      <c r="V32" s="112"/>
      <c r="X32" s="112"/>
      <c r="Y32" s="118"/>
      <c r="Z32" s="149"/>
      <c r="AA32" s="150"/>
      <c r="AB32" s="114"/>
      <c r="AC32" s="112"/>
      <c r="AD32" s="152"/>
    </row>
    <row r="33" spans="2:27" ht="12.75" customHeight="1" x14ac:dyDescent="0.25">
      <c r="B33" s="109" t="s">
        <v>254</v>
      </c>
      <c r="C33" s="163" t="s">
        <v>255</v>
      </c>
      <c r="D33" s="107" t="s">
        <v>53</v>
      </c>
      <c r="E33" s="99">
        <v>5100</v>
      </c>
      <c r="F33" s="99"/>
      <c r="G33" s="99"/>
      <c r="H33" s="99"/>
      <c r="I33" s="99"/>
      <c r="K33" s="109" t="s">
        <v>256</v>
      </c>
      <c r="L33" s="109" t="s">
        <v>257</v>
      </c>
      <c r="M33" s="109" t="s">
        <v>56</v>
      </c>
      <c r="N33" s="109">
        <v>103500</v>
      </c>
      <c r="O33" s="128"/>
      <c r="Q33" s="112"/>
      <c r="R33" s="107"/>
      <c r="S33" s="147"/>
      <c r="T33" s="148"/>
      <c r="U33" s="112"/>
      <c r="V33" s="112"/>
      <c r="X33" s="112"/>
      <c r="Y33" s="118"/>
      <c r="Z33" s="149"/>
      <c r="AA33" s="150"/>
    </row>
    <row r="34" spans="2:27" ht="12.75" customHeight="1" x14ac:dyDescent="0.25">
      <c r="B34" s="96" t="s">
        <v>254</v>
      </c>
      <c r="C34" s="164" t="s">
        <v>258</v>
      </c>
      <c r="D34" s="107" t="s">
        <v>120</v>
      </c>
      <c r="E34" s="98">
        <v>15679580</v>
      </c>
      <c r="F34" s="98"/>
      <c r="G34" s="98"/>
      <c r="H34" s="98"/>
      <c r="I34" s="98"/>
      <c r="K34" s="109" t="s">
        <v>259</v>
      </c>
      <c r="L34" s="165" t="s">
        <v>260</v>
      </c>
      <c r="M34" s="165"/>
      <c r="N34" s="165"/>
      <c r="O34" s="128"/>
      <c r="Q34" s="112"/>
      <c r="R34" s="107"/>
      <c r="S34" s="147"/>
      <c r="T34" s="148"/>
      <c r="U34" s="112"/>
      <c r="V34" s="112"/>
      <c r="X34" s="112"/>
      <c r="Y34" s="118"/>
      <c r="Z34" s="149"/>
      <c r="AA34" s="150"/>
    </row>
    <row r="35" spans="2:27" ht="12.75" customHeight="1" x14ac:dyDescent="0.25">
      <c r="B35" s="96" t="s">
        <v>261</v>
      </c>
      <c r="C35" s="166" t="s">
        <v>262</v>
      </c>
      <c r="D35" s="107" t="s">
        <v>120</v>
      </c>
      <c r="E35" s="98">
        <v>105768390</v>
      </c>
      <c r="F35" s="98"/>
      <c r="G35" s="98"/>
      <c r="H35" s="98"/>
      <c r="I35" s="98"/>
      <c r="K35" s="109" t="s">
        <v>263</v>
      </c>
      <c r="L35" s="109" t="s">
        <v>264</v>
      </c>
      <c r="M35" s="109" t="s">
        <v>56</v>
      </c>
      <c r="N35" s="109">
        <v>85000</v>
      </c>
      <c r="O35" s="128"/>
      <c r="Q35" s="112"/>
      <c r="R35" s="107"/>
      <c r="S35" s="147"/>
      <c r="T35" s="148"/>
      <c r="U35" s="112"/>
      <c r="V35" s="112"/>
      <c r="X35" s="112"/>
      <c r="Y35" s="118"/>
      <c r="Z35" s="149"/>
      <c r="AA35" s="150"/>
    </row>
    <row r="36" spans="2:27" ht="12.75" customHeight="1" x14ac:dyDescent="0.25">
      <c r="B36" s="96" t="s">
        <v>265</v>
      </c>
      <c r="C36" s="106" t="s">
        <v>266</v>
      </c>
      <c r="D36" s="107" t="s">
        <v>120</v>
      </c>
      <c r="E36" s="98">
        <v>901750</v>
      </c>
      <c r="F36" s="98"/>
      <c r="G36" s="98"/>
      <c r="H36" s="98"/>
      <c r="I36" s="98"/>
      <c r="K36" s="109" t="s">
        <v>267</v>
      </c>
      <c r="L36" s="109" t="s">
        <v>268</v>
      </c>
      <c r="M36" s="109" t="s">
        <v>56</v>
      </c>
      <c r="N36" s="109">
        <v>123600</v>
      </c>
      <c r="O36" s="128"/>
      <c r="Q36" s="112"/>
      <c r="R36" s="107"/>
      <c r="S36" s="147"/>
      <c r="T36" s="148"/>
      <c r="U36" s="112"/>
      <c r="V36" s="112"/>
      <c r="X36" s="112"/>
      <c r="Y36" s="118"/>
      <c r="Z36" s="149"/>
      <c r="AA36" s="150"/>
    </row>
    <row r="37" spans="2:27" ht="12.75" customHeight="1" x14ac:dyDescent="0.25">
      <c r="B37" s="96" t="s">
        <v>269</v>
      </c>
      <c r="C37" s="106" t="s">
        <v>270</v>
      </c>
      <c r="D37" s="107" t="s">
        <v>120</v>
      </c>
      <c r="E37" s="98">
        <v>107050</v>
      </c>
      <c r="F37" s="98"/>
      <c r="G37" s="98"/>
      <c r="H37" s="98"/>
      <c r="I37" s="98"/>
      <c r="K37" s="109" t="s">
        <v>271</v>
      </c>
      <c r="L37" s="109" t="s">
        <v>272</v>
      </c>
      <c r="M37" s="109" t="s">
        <v>130</v>
      </c>
      <c r="N37" s="109">
        <v>50400</v>
      </c>
      <c r="O37" s="128"/>
      <c r="Q37" s="112"/>
      <c r="R37" s="107"/>
      <c r="S37" s="147"/>
      <c r="T37" s="148"/>
      <c r="U37" s="112"/>
      <c r="V37" s="112"/>
      <c r="X37" s="112"/>
      <c r="Y37" s="118"/>
      <c r="Z37" s="149"/>
      <c r="AA37" s="150"/>
    </row>
    <row r="38" spans="2:27" ht="12.75" customHeight="1" x14ac:dyDescent="0.25">
      <c r="B38" s="96" t="s">
        <v>273</v>
      </c>
      <c r="C38" s="106" t="s">
        <v>274</v>
      </c>
      <c r="D38" s="107" t="s">
        <v>120</v>
      </c>
      <c r="E38" s="98">
        <v>2531.41</v>
      </c>
      <c r="F38" s="98"/>
      <c r="G38" s="98"/>
      <c r="H38" s="98"/>
      <c r="I38" s="98"/>
      <c r="K38" s="109" t="s">
        <v>275</v>
      </c>
      <c r="L38" s="109" t="s">
        <v>276</v>
      </c>
      <c r="M38" s="109" t="s">
        <v>130</v>
      </c>
      <c r="N38" s="109">
        <v>291200</v>
      </c>
      <c r="O38" s="128"/>
      <c r="Q38" s="112"/>
      <c r="R38" s="107"/>
      <c r="S38" s="147"/>
      <c r="T38" s="148"/>
      <c r="U38" s="112"/>
      <c r="V38" s="112"/>
      <c r="X38" s="112"/>
      <c r="Y38" s="118"/>
      <c r="Z38" s="149"/>
      <c r="AA38" s="150"/>
    </row>
    <row r="39" spans="2:27" ht="12.75" customHeight="1" x14ac:dyDescent="0.25">
      <c r="B39" s="96" t="s">
        <v>277</v>
      </c>
      <c r="C39" s="164" t="s">
        <v>278</v>
      </c>
      <c r="D39" s="107" t="s">
        <v>120</v>
      </c>
      <c r="E39" s="98">
        <v>73529</v>
      </c>
      <c r="F39" s="98"/>
      <c r="G39" s="98"/>
      <c r="H39" s="98"/>
      <c r="I39" s="98"/>
      <c r="K39" s="109" t="s">
        <v>279</v>
      </c>
      <c r="L39" s="109" t="s">
        <v>280</v>
      </c>
      <c r="M39" s="109" t="s">
        <v>56</v>
      </c>
      <c r="N39" s="109">
        <v>84600</v>
      </c>
      <c r="O39" s="128"/>
      <c r="Q39" s="112"/>
      <c r="R39" s="107"/>
      <c r="S39" s="147"/>
      <c r="T39" s="148"/>
      <c r="U39" s="112"/>
      <c r="V39" s="112"/>
      <c r="X39" s="112"/>
      <c r="Y39" s="118"/>
      <c r="Z39" s="149"/>
      <c r="AA39" s="150"/>
    </row>
    <row r="40" spans="2:27" ht="12.75" customHeight="1" x14ac:dyDescent="0.25">
      <c r="B40" s="96" t="s">
        <v>281</v>
      </c>
      <c r="C40" s="106" t="s">
        <v>282</v>
      </c>
      <c r="D40" s="107" t="s">
        <v>53</v>
      </c>
      <c r="E40" s="98">
        <f>(441788/3)*1.1</f>
        <v>161988.93333333335</v>
      </c>
      <c r="F40" s="98"/>
      <c r="G40" s="98"/>
      <c r="H40" s="98"/>
      <c r="I40" s="98"/>
      <c r="K40" s="109" t="s">
        <v>283</v>
      </c>
      <c r="L40" s="165" t="s">
        <v>284</v>
      </c>
      <c r="M40" s="165"/>
      <c r="N40" s="167"/>
      <c r="O40" s="128"/>
      <c r="Q40" s="112"/>
      <c r="R40" s="107"/>
      <c r="S40" s="147"/>
      <c r="T40" s="148"/>
      <c r="U40" s="112"/>
      <c r="V40" s="112"/>
      <c r="X40" s="112"/>
      <c r="Y40" s="118"/>
      <c r="Z40" s="149"/>
      <c r="AA40" s="150"/>
    </row>
    <row r="41" spans="2:27" ht="13.5" customHeight="1" x14ac:dyDescent="0.25">
      <c r="B41" s="96" t="s">
        <v>285</v>
      </c>
      <c r="C41" s="106" t="s">
        <v>286</v>
      </c>
      <c r="D41" s="107" t="s">
        <v>136</v>
      </c>
      <c r="E41" s="98">
        <v>65000</v>
      </c>
      <c r="F41" s="98"/>
      <c r="G41" s="98"/>
      <c r="H41" s="98"/>
      <c r="I41" s="98"/>
      <c r="K41" s="109" t="s">
        <v>287</v>
      </c>
      <c r="L41" s="159" t="s">
        <v>288</v>
      </c>
      <c r="M41" s="108" t="s">
        <v>289</v>
      </c>
      <c r="N41" s="168">
        <v>42000</v>
      </c>
      <c r="O41" s="128"/>
      <c r="Q41" s="112"/>
      <c r="R41" s="516"/>
      <c r="S41" s="517"/>
      <c r="T41" s="518"/>
      <c r="U41" s="112"/>
      <c r="V41" s="112"/>
      <c r="X41" s="112"/>
      <c r="Y41" s="519"/>
      <c r="Z41" s="517"/>
      <c r="AA41" s="518"/>
    </row>
    <row r="42" spans="2:27" ht="13.5" customHeight="1" x14ac:dyDescent="0.25">
      <c r="B42" s="96" t="s">
        <v>290</v>
      </c>
      <c r="C42" s="106" t="s">
        <v>291</v>
      </c>
      <c r="D42" s="107" t="s">
        <v>120</v>
      </c>
      <c r="E42" s="98">
        <v>337500</v>
      </c>
      <c r="F42" s="98"/>
      <c r="G42" s="98"/>
      <c r="H42" s="98"/>
      <c r="I42" s="98"/>
      <c r="K42" s="109" t="s">
        <v>292</v>
      </c>
      <c r="L42" s="159" t="s">
        <v>293</v>
      </c>
      <c r="M42" s="108" t="s">
        <v>289</v>
      </c>
      <c r="N42" s="168">
        <v>36000</v>
      </c>
      <c r="O42" s="128"/>
      <c r="Q42" s="112"/>
      <c r="R42" s="107"/>
      <c r="S42" s="147"/>
      <c r="T42" s="148"/>
      <c r="U42" s="112"/>
      <c r="V42" s="112"/>
      <c r="X42" s="112"/>
      <c r="Y42" s="118"/>
      <c r="Z42" s="149"/>
      <c r="AA42" s="150"/>
    </row>
    <row r="43" spans="2:27" ht="13.5" customHeight="1" x14ac:dyDescent="0.25">
      <c r="B43" s="96" t="s">
        <v>294</v>
      </c>
      <c r="C43" s="106" t="s">
        <v>295</v>
      </c>
      <c r="D43" s="107" t="s">
        <v>136</v>
      </c>
      <c r="E43" s="98">
        <f>53050/3</f>
        <v>17683.333333333332</v>
      </c>
      <c r="F43" s="98"/>
      <c r="G43" s="98"/>
      <c r="H43" s="98"/>
      <c r="I43" s="98"/>
      <c r="K43" s="109" t="s">
        <v>296</v>
      </c>
      <c r="L43" s="159" t="s">
        <v>297</v>
      </c>
      <c r="M43" s="108" t="s">
        <v>289</v>
      </c>
      <c r="N43" s="168">
        <v>244800</v>
      </c>
      <c r="O43" s="128"/>
      <c r="Q43" s="112"/>
      <c r="R43" s="107"/>
      <c r="S43" s="147"/>
      <c r="T43" s="148"/>
      <c r="U43" s="112"/>
      <c r="V43" s="112"/>
      <c r="X43" s="112"/>
      <c r="Y43" s="118"/>
      <c r="Z43" s="149"/>
      <c r="AA43" s="150"/>
    </row>
    <row r="44" spans="2:27" ht="13.5" customHeight="1" x14ac:dyDescent="0.25">
      <c r="B44" s="96" t="s">
        <v>298</v>
      </c>
      <c r="C44" s="106" t="s">
        <v>299</v>
      </c>
      <c r="D44" s="107" t="s">
        <v>120</v>
      </c>
      <c r="E44" s="98">
        <v>10150</v>
      </c>
      <c r="F44" s="98"/>
      <c r="G44" s="98"/>
      <c r="H44" s="98"/>
      <c r="I44" s="98"/>
      <c r="K44" s="109" t="s">
        <v>300</v>
      </c>
      <c r="L44" s="159" t="s">
        <v>301</v>
      </c>
      <c r="M44" s="108" t="s">
        <v>289</v>
      </c>
      <c r="N44" s="168">
        <v>132000</v>
      </c>
      <c r="O44" s="128"/>
      <c r="Q44" s="112"/>
      <c r="R44" s="107"/>
      <c r="S44" s="147"/>
      <c r="T44" s="148"/>
      <c r="U44" s="112"/>
      <c r="V44" s="112"/>
      <c r="X44" s="112"/>
      <c r="Y44" s="118"/>
      <c r="Z44" s="149"/>
      <c r="AA44" s="150"/>
    </row>
    <row r="45" spans="2:27" ht="13.5" customHeight="1" x14ac:dyDescent="0.25">
      <c r="B45" s="96" t="s">
        <v>302</v>
      </c>
      <c r="C45" s="106" t="s">
        <v>303</v>
      </c>
      <c r="D45" s="107" t="s">
        <v>120</v>
      </c>
      <c r="E45" s="98">
        <v>218750</v>
      </c>
      <c r="F45" s="98"/>
      <c r="G45" s="98"/>
      <c r="H45" s="98"/>
      <c r="I45" s="98"/>
      <c r="K45" s="109" t="s">
        <v>304</v>
      </c>
      <c r="L45" s="159" t="s">
        <v>305</v>
      </c>
      <c r="M45" s="108" t="s">
        <v>289</v>
      </c>
      <c r="N45" s="168">
        <v>55000</v>
      </c>
      <c r="O45" s="128"/>
      <c r="Q45" s="112"/>
      <c r="R45" s="107"/>
      <c r="S45" s="147"/>
      <c r="T45" s="148"/>
      <c r="U45" s="112"/>
      <c r="V45" s="112"/>
      <c r="X45" s="112"/>
      <c r="Y45" s="118"/>
      <c r="Z45" s="149"/>
      <c r="AA45" s="150"/>
    </row>
    <row r="46" spans="2:27" ht="13.5" customHeight="1" x14ac:dyDescent="0.25">
      <c r="B46" s="96" t="s">
        <v>306</v>
      </c>
      <c r="C46" s="106" t="s">
        <v>307</v>
      </c>
      <c r="D46" s="107" t="s">
        <v>120</v>
      </c>
      <c r="E46" s="98">
        <v>24750</v>
      </c>
      <c r="F46" s="98"/>
      <c r="G46" s="98"/>
      <c r="H46" s="98"/>
      <c r="I46" s="98"/>
      <c r="K46" s="109" t="s">
        <v>308</v>
      </c>
      <c r="L46" s="159" t="s">
        <v>309</v>
      </c>
      <c r="M46" s="108" t="s">
        <v>289</v>
      </c>
      <c r="N46" s="168">
        <v>42000</v>
      </c>
      <c r="O46" s="128"/>
      <c r="Q46" s="112"/>
      <c r="R46" s="107"/>
      <c r="S46" s="147"/>
      <c r="T46" s="148"/>
      <c r="U46" s="112"/>
      <c r="V46" s="112"/>
      <c r="X46" s="112"/>
      <c r="Y46" s="118"/>
      <c r="Z46" s="149"/>
      <c r="AA46" s="150"/>
    </row>
    <row r="47" spans="2:27" ht="14.25" customHeight="1" x14ac:dyDescent="0.25">
      <c r="B47" s="96" t="s">
        <v>310</v>
      </c>
      <c r="C47" s="106" t="s">
        <v>311</v>
      </c>
      <c r="D47" s="107" t="s">
        <v>136</v>
      </c>
      <c r="E47" s="98">
        <f>69342/2</f>
        <v>34671</v>
      </c>
      <c r="F47" s="98"/>
      <c r="G47" s="98"/>
      <c r="H47" s="98"/>
      <c r="I47" s="98"/>
      <c r="K47" s="109" t="s">
        <v>312</v>
      </c>
      <c r="L47" s="159" t="s">
        <v>313</v>
      </c>
      <c r="M47" s="108" t="s">
        <v>289</v>
      </c>
      <c r="N47" s="168">
        <v>49400</v>
      </c>
      <c r="O47" s="128"/>
      <c r="Q47" s="112"/>
      <c r="R47" s="107"/>
      <c r="S47" s="147"/>
      <c r="T47" s="148"/>
      <c r="U47" s="112"/>
      <c r="V47" s="112"/>
      <c r="X47" s="112"/>
      <c r="Y47" s="118"/>
      <c r="Z47" s="149"/>
      <c r="AA47" s="150"/>
    </row>
    <row r="48" spans="2:27" ht="13.5" customHeight="1" x14ac:dyDescent="0.25">
      <c r="B48" s="96" t="s">
        <v>314</v>
      </c>
      <c r="C48" s="106" t="s">
        <v>315</v>
      </c>
      <c r="D48" s="107" t="s">
        <v>120</v>
      </c>
      <c r="E48" s="98">
        <v>4039554</v>
      </c>
      <c r="F48" s="98"/>
      <c r="G48" s="98"/>
      <c r="H48" s="98"/>
      <c r="I48" s="98"/>
      <c r="K48" s="109" t="s">
        <v>316</v>
      </c>
      <c r="L48" s="159" t="s">
        <v>317</v>
      </c>
      <c r="M48" s="108" t="s">
        <v>289</v>
      </c>
      <c r="N48" s="168">
        <v>49400</v>
      </c>
      <c r="O48" s="128"/>
      <c r="Q48" s="112"/>
      <c r="R48" s="107"/>
      <c r="S48" s="147"/>
      <c r="T48" s="148"/>
      <c r="U48" s="112"/>
      <c r="V48" s="112"/>
      <c r="X48" s="112"/>
      <c r="Y48" s="118"/>
      <c r="Z48" s="149"/>
      <c r="AA48" s="150"/>
    </row>
    <row r="49" spans="2:14" ht="13.5" customHeight="1" x14ac:dyDescent="0.25">
      <c r="B49" s="96" t="s">
        <v>318</v>
      </c>
      <c r="C49" s="112" t="s">
        <v>319</v>
      </c>
      <c r="D49" s="107" t="s">
        <v>57</v>
      </c>
      <c r="E49" s="98">
        <v>119840</v>
      </c>
      <c r="F49" s="98"/>
      <c r="G49" s="98"/>
      <c r="H49" s="98"/>
      <c r="I49" s="98"/>
      <c r="K49" s="109" t="s">
        <v>320</v>
      </c>
      <c r="L49" s="159" t="s">
        <v>321</v>
      </c>
      <c r="M49" s="108" t="s">
        <v>289</v>
      </c>
      <c r="N49" s="168">
        <v>24000</v>
      </c>
    </row>
    <row r="50" spans="2:14" ht="13.5" customHeight="1" x14ac:dyDescent="0.25">
      <c r="B50" s="96" t="s">
        <v>322</v>
      </c>
      <c r="C50" s="106" t="s">
        <v>323</v>
      </c>
      <c r="D50" s="107" t="s">
        <v>324</v>
      </c>
      <c r="E50" s="98">
        <v>9950</v>
      </c>
      <c r="F50" s="98"/>
      <c r="G50" s="98"/>
      <c r="H50" s="98"/>
      <c r="I50" s="98"/>
      <c r="K50" s="109" t="s">
        <v>325</v>
      </c>
      <c r="L50" s="159" t="s">
        <v>326</v>
      </c>
      <c r="M50" s="108" t="s">
        <v>289</v>
      </c>
      <c r="N50" s="168">
        <v>31800</v>
      </c>
    </row>
    <row r="51" spans="2:14" ht="13.5" customHeight="1" x14ac:dyDescent="0.25">
      <c r="B51" s="96" t="s">
        <v>327</v>
      </c>
      <c r="C51" s="106" t="s">
        <v>328</v>
      </c>
      <c r="D51" s="107" t="s">
        <v>120</v>
      </c>
      <c r="E51" s="98">
        <v>19250</v>
      </c>
      <c r="F51" s="98"/>
      <c r="G51" s="98"/>
      <c r="H51" s="98"/>
      <c r="I51" s="98"/>
      <c r="K51" s="109" t="s">
        <v>329</v>
      </c>
      <c r="L51" s="159" t="s">
        <v>330</v>
      </c>
      <c r="M51" s="108" t="s">
        <v>289</v>
      </c>
      <c r="N51" s="168">
        <v>76320</v>
      </c>
    </row>
    <row r="52" spans="2:14" ht="13.5" customHeight="1" x14ac:dyDescent="0.25">
      <c r="B52" s="96" t="s">
        <v>331</v>
      </c>
      <c r="C52" s="106" t="s">
        <v>332</v>
      </c>
      <c r="D52" s="107" t="s">
        <v>120</v>
      </c>
      <c r="E52" s="98">
        <v>4900</v>
      </c>
      <c r="F52" s="98"/>
      <c r="G52" s="98"/>
      <c r="H52" s="98"/>
      <c r="I52" s="98"/>
      <c r="K52" s="109" t="s">
        <v>333</v>
      </c>
      <c r="L52" s="159" t="s">
        <v>334</v>
      </c>
      <c r="M52" s="108" t="s">
        <v>289</v>
      </c>
      <c r="N52" s="168">
        <v>53200</v>
      </c>
    </row>
    <row r="53" spans="2:14" ht="13.5" customHeight="1" x14ac:dyDescent="0.25">
      <c r="B53" s="96" t="s">
        <v>335</v>
      </c>
      <c r="C53" s="106" t="s">
        <v>336</v>
      </c>
      <c r="D53" s="107" t="s">
        <v>120</v>
      </c>
      <c r="E53" s="98">
        <v>400</v>
      </c>
      <c r="F53" s="98"/>
      <c r="G53" s="98"/>
      <c r="H53" s="98"/>
      <c r="I53" s="98"/>
      <c r="K53" s="109" t="s">
        <v>337</v>
      </c>
      <c r="L53" s="159" t="s">
        <v>338</v>
      </c>
      <c r="M53" s="108" t="s">
        <v>289</v>
      </c>
      <c r="N53" s="168">
        <v>39600</v>
      </c>
    </row>
    <row r="54" spans="2:14" ht="13.5" customHeight="1" x14ac:dyDescent="0.25">
      <c r="B54" s="96" t="s">
        <v>339</v>
      </c>
      <c r="C54" s="106" t="s">
        <v>340</v>
      </c>
      <c r="D54" s="107"/>
      <c r="E54" s="98">
        <v>13100</v>
      </c>
      <c r="F54" s="98"/>
      <c r="G54" s="98"/>
      <c r="H54" s="98"/>
      <c r="I54" s="98"/>
      <c r="K54" s="109" t="s">
        <v>341</v>
      </c>
      <c r="L54" s="159" t="s">
        <v>342</v>
      </c>
      <c r="M54" s="108" t="s">
        <v>289</v>
      </c>
      <c r="N54" s="168">
        <v>39600</v>
      </c>
    </row>
    <row r="55" spans="2:14" ht="13.5" customHeight="1" x14ac:dyDescent="0.25">
      <c r="B55" s="96" t="s">
        <v>343</v>
      </c>
      <c r="C55" s="106" t="s">
        <v>344</v>
      </c>
      <c r="D55" s="107" t="s">
        <v>120</v>
      </c>
      <c r="E55" s="98">
        <v>144300</v>
      </c>
      <c r="F55" s="98"/>
      <c r="G55" s="98"/>
      <c r="H55" s="98"/>
      <c r="I55" s="98"/>
      <c r="K55" s="109" t="s">
        <v>345</v>
      </c>
      <c r="L55" s="159" t="s">
        <v>346</v>
      </c>
      <c r="M55" s="108" t="s">
        <v>289</v>
      </c>
      <c r="N55" s="168">
        <v>84800</v>
      </c>
    </row>
    <row r="56" spans="2:14" ht="13.5" customHeight="1" x14ac:dyDescent="0.25">
      <c r="B56" s="96" t="s">
        <v>347</v>
      </c>
      <c r="C56" s="106" t="s">
        <v>348</v>
      </c>
      <c r="D56" s="107" t="s">
        <v>120</v>
      </c>
      <c r="E56" s="98">
        <v>38550</v>
      </c>
      <c r="F56" s="98"/>
      <c r="G56" s="98"/>
      <c r="H56" s="98"/>
      <c r="I56" s="98"/>
      <c r="K56" s="109" t="s">
        <v>349</v>
      </c>
      <c r="L56" s="159" t="s">
        <v>350</v>
      </c>
      <c r="M56" s="108" t="s">
        <v>289</v>
      </c>
      <c r="N56" s="168">
        <v>60000</v>
      </c>
    </row>
    <row r="57" spans="2:14" ht="13.5" customHeight="1" x14ac:dyDescent="0.25">
      <c r="B57" s="96" t="s">
        <v>351</v>
      </c>
      <c r="C57" s="106" t="s">
        <v>352</v>
      </c>
      <c r="D57" s="107" t="s">
        <v>120</v>
      </c>
      <c r="E57" s="98">
        <v>97200</v>
      </c>
      <c r="F57" s="98"/>
      <c r="G57" s="98"/>
      <c r="H57" s="98"/>
      <c r="I57" s="98"/>
      <c r="K57" s="109" t="s">
        <v>353</v>
      </c>
      <c r="L57" s="159" t="s">
        <v>354</v>
      </c>
      <c r="M57" s="108" t="s">
        <v>289</v>
      </c>
      <c r="N57" s="168">
        <v>74200</v>
      </c>
    </row>
    <row r="58" spans="2:14" ht="13.5" customHeight="1" x14ac:dyDescent="0.25">
      <c r="B58" s="96" t="s">
        <v>355</v>
      </c>
      <c r="C58" s="106" t="s">
        <v>356</v>
      </c>
      <c r="D58" s="107" t="s">
        <v>120</v>
      </c>
      <c r="E58" s="98">
        <v>232550</v>
      </c>
      <c r="F58" s="98"/>
      <c r="G58" s="98"/>
      <c r="H58" s="98"/>
      <c r="I58" s="98"/>
      <c r="K58" s="109" t="s">
        <v>357</v>
      </c>
      <c r="L58" s="159" t="s">
        <v>358</v>
      </c>
      <c r="M58" s="108" t="s">
        <v>289</v>
      </c>
      <c r="N58" s="168">
        <v>7100</v>
      </c>
    </row>
    <row r="59" spans="2:14" ht="13.5" customHeight="1" x14ac:dyDescent="0.25">
      <c r="B59" s="96" t="s">
        <v>359</v>
      </c>
      <c r="C59" s="106" t="s">
        <v>360</v>
      </c>
      <c r="D59" s="107" t="s">
        <v>136</v>
      </c>
      <c r="E59" s="98">
        <v>65000</v>
      </c>
      <c r="F59" s="98"/>
      <c r="G59" s="98"/>
      <c r="H59" s="98"/>
      <c r="I59" s="98"/>
      <c r="K59" s="109" t="s">
        <v>361</v>
      </c>
      <c r="L59" s="159" t="s">
        <v>362</v>
      </c>
      <c r="M59" s="108" t="s">
        <v>289</v>
      </c>
      <c r="N59" s="168">
        <v>7100</v>
      </c>
    </row>
    <row r="60" spans="2:14" ht="13.5" customHeight="1" x14ac:dyDescent="0.25">
      <c r="B60" s="96" t="s">
        <v>363</v>
      </c>
      <c r="C60" s="112" t="s">
        <v>364</v>
      </c>
      <c r="D60" s="107" t="s">
        <v>53</v>
      </c>
      <c r="E60" s="98">
        <v>9460</v>
      </c>
      <c r="F60" s="98"/>
      <c r="G60" s="98"/>
      <c r="H60" s="98"/>
      <c r="I60" s="98"/>
      <c r="K60" s="109" t="s">
        <v>365</v>
      </c>
      <c r="L60" s="159" t="s">
        <v>366</v>
      </c>
      <c r="M60" s="108" t="s">
        <v>289</v>
      </c>
      <c r="N60" s="168">
        <v>7100</v>
      </c>
    </row>
    <row r="61" spans="2:14" ht="13.5" customHeight="1" x14ac:dyDescent="0.25">
      <c r="B61" s="96" t="s">
        <v>367</v>
      </c>
      <c r="C61" s="106" t="s">
        <v>368</v>
      </c>
      <c r="D61" s="107"/>
      <c r="E61" s="98">
        <v>3100</v>
      </c>
      <c r="F61" s="98"/>
      <c r="G61" s="98"/>
      <c r="H61" s="98"/>
      <c r="I61" s="98"/>
      <c r="K61" s="109" t="s">
        <v>369</v>
      </c>
      <c r="L61" s="159" t="s">
        <v>370</v>
      </c>
      <c r="M61" s="108" t="s">
        <v>136</v>
      </c>
      <c r="N61" s="168">
        <v>6000</v>
      </c>
    </row>
    <row r="62" spans="2:14" ht="13.5" customHeight="1" x14ac:dyDescent="0.25">
      <c r="B62" s="96" t="s">
        <v>371</v>
      </c>
      <c r="C62" s="106" t="s">
        <v>372</v>
      </c>
      <c r="D62" s="107" t="s">
        <v>120</v>
      </c>
      <c r="E62" s="98">
        <v>750</v>
      </c>
      <c r="F62" s="98"/>
      <c r="G62" s="98"/>
      <c r="H62" s="98"/>
      <c r="I62" s="98"/>
      <c r="K62" s="109" t="s">
        <v>373</v>
      </c>
      <c r="L62" s="159" t="s">
        <v>374</v>
      </c>
      <c r="M62" s="108" t="s">
        <v>375</v>
      </c>
      <c r="N62" s="168">
        <v>1250</v>
      </c>
    </row>
    <row r="63" spans="2:14" ht="13.5" customHeight="1" x14ac:dyDescent="0.25">
      <c r="B63" s="96" t="s">
        <v>376</v>
      </c>
      <c r="C63" s="106" t="s">
        <v>377</v>
      </c>
      <c r="D63" s="107" t="s">
        <v>120</v>
      </c>
      <c r="E63" s="98">
        <v>6000</v>
      </c>
      <c r="F63" s="98"/>
      <c r="G63" s="98"/>
      <c r="H63" s="98"/>
      <c r="I63" s="98"/>
      <c r="K63" s="109" t="s">
        <v>378</v>
      </c>
      <c r="L63" s="159" t="s">
        <v>379</v>
      </c>
      <c r="M63" s="108" t="s">
        <v>289</v>
      </c>
      <c r="N63" s="168">
        <v>89000</v>
      </c>
    </row>
    <row r="64" spans="2:14" ht="13.5" customHeight="1" x14ac:dyDescent="0.25">
      <c r="B64" s="96" t="s">
        <v>380</v>
      </c>
      <c r="C64" s="106" t="s">
        <v>381</v>
      </c>
      <c r="D64" s="107" t="s">
        <v>120</v>
      </c>
      <c r="E64" s="98">
        <v>56000</v>
      </c>
      <c r="F64" s="98"/>
      <c r="G64" s="98"/>
      <c r="H64" s="98"/>
      <c r="I64" s="98"/>
      <c r="K64" s="109" t="s">
        <v>382</v>
      </c>
      <c r="L64" s="159" t="s">
        <v>383</v>
      </c>
      <c r="M64" s="108" t="s">
        <v>289</v>
      </c>
      <c r="N64" s="168">
        <v>26900</v>
      </c>
    </row>
    <row r="65" spans="2:14" ht="13.5" customHeight="1" x14ac:dyDescent="0.25">
      <c r="B65" s="96" t="s">
        <v>384</v>
      </c>
      <c r="C65" s="106" t="s">
        <v>385</v>
      </c>
      <c r="D65" s="107"/>
      <c r="E65" s="98"/>
      <c r="F65" s="98"/>
      <c r="G65" s="98"/>
      <c r="H65" s="98"/>
      <c r="I65" s="98"/>
      <c r="K65" s="109" t="s">
        <v>386</v>
      </c>
      <c r="L65" s="159" t="s">
        <v>387</v>
      </c>
      <c r="M65" s="108" t="s">
        <v>289</v>
      </c>
      <c r="N65" s="168">
        <v>40700</v>
      </c>
    </row>
    <row r="66" spans="2:14" ht="13.5" customHeight="1" x14ac:dyDescent="0.25">
      <c r="B66" s="169" t="s">
        <v>388</v>
      </c>
      <c r="C66" s="106" t="s">
        <v>389</v>
      </c>
      <c r="D66" s="107" t="s">
        <v>136</v>
      </c>
      <c r="E66" s="98">
        <v>90593.33</v>
      </c>
      <c r="F66" s="98"/>
      <c r="G66" s="98"/>
      <c r="H66" s="98"/>
      <c r="I66" s="98"/>
      <c r="K66" s="109" t="s">
        <v>390</v>
      </c>
      <c r="L66" s="159" t="s">
        <v>391</v>
      </c>
      <c r="M66" s="108" t="s">
        <v>289</v>
      </c>
      <c r="N66" s="168">
        <v>58300</v>
      </c>
    </row>
    <row r="67" spans="2:14" ht="13.5" customHeight="1" x14ac:dyDescent="0.25">
      <c r="B67" s="96" t="s">
        <v>392</v>
      </c>
      <c r="C67" s="106" t="s">
        <v>393</v>
      </c>
      <c r="D67" s="107" t="s">
        <v>120</v>
      </c>
      <c r="E67" s="98">
        <f>337500/3</f>
        <v>112500</v>
      </c>
      <c r="F67" s="98"/>
      <c r="G67" s="98"/>
      <c r="H67" s="98"/>
      <c r="I67" s="98"/>
      <c r="J67" s="95" t="s">
        <v>394</v>
      </c>
      <c r="K67" s="109" t="s">
        <v>395</v>
      </c>
      <c r="L67" s="159" t="s">
        <v>396</v>
      </c>
      <c r="M67" s="108" t="s">
        <v>289</v>
      </c>
      <c r="N67" s="168">
        <v>40800</v>
      </c>
    </row>
    <row r="68" spans="2:14" ht="15" customHeight="1" x14ac:dyDescent="0.25">
      <c r="B68" s="96" t="s">
        <v>397</v>
      </c>
      <c r="C68" s="106" t="s">
        <v>398</v>
      </c>
      <c r="D68" s="107" t="s">
        <v>120</v>
      </c>
      <c r="E68" s="98">
        <v>956950</v>
      </c>
      <c r="F68" s="98"/>
      <c r="G68" s="98"/>
      <c r="H68" s="98"/>
      <c r="I68" s="98"/>
      <c r="K68" s="109" t="s">
        <v>399</v>
      </c>
      <c r="L68" s="159" t="s">
        <v>400</v>
      </c>
      <c r="M68" s="108" t="s">
        <v>289</v>
      </c>
      <c r="N68" s="168">
        <v>50200</v>
      </c>
    </row>
    <row r="69" spans="2:14" ht="13.5" customHeight="1" x14ac:dyDescent="0.25">
      <c r="B69" s="96" t="s">
        <v>401</v>
      </c>
      <c r="C69" s="106" t="s">
        <v>402</v>
      </c>
      <c r="D69" s="107" t="s">
        <v>120</v>
      </c>
      <c r="E69" s="98">
        <v>6500</v>
      </c>
      <c r="F69" s="98"/>
      <c r="G69" s="98"/>
      <c r="H69" s="98"/>
      <c r="I69" s="98"/>
      <c r="K69" s="109" t="s">
        <v>403</v>
      </c>
      <c r="L69" s="159" t="s">
        <v>404</v>
      </c>
      <c r="M69" s="108" t="s">
        <v>289</v>
      </c>
      <c r="N69" s="168">
        <v>51600</v>
      </c>
    </row>
    <row r="70" spans="2:14" ht="13.5" customHeight="1" x14ac:dyDescent="0.25">
      <c r="B70" s="96" t="s">
        <v>405</v>
      </c>
      <c r="C70" s="106" t="s">
        <v>406</v>
      </c>
      <c r="D70" s="107" t="s">
        <v>120</v>
      </c>
      <c r="E70" s="98">
        <v>9100</v>
      </c>
      <c r="F70" s="98"/>
      <c r="G70" s="98"/>
      <c r="H70" s="98"/>
      <c r="I70" s="98"/>
      <c r="K70" s="109" t="s">
        <v>407</v>
      </c>
      <c r="L70" s="159" t="s">
        <v>408</v>
      </c>
      <c r="M70" s="108" t="s">
        <v>289</v>
      </c>
      <c r="N70" s="168">
        <v>136900</v>
      </c>
    </row>
    <row r="71" spans="2:14" ht="13.5" customHeight="1" x14ac:dyDescent="0.25">
      <c r="B71" s="96" t="s">
        <v>409</v>
      </c>
      <c r="C71" s="112" t="s">
        <v>410</v>
      </c>
      <c r="D71" s="107" t="s">
        <v>53</v>
      </c>
      <c r="E71" s="98">
        <v>9500</v>
      </c>
      <c r="F71" s="98"/>
      <c r="G71" s="98"/>
      <c r="H71" s="98"/>
      <c r="I71" s="98"/>
      <c r="K71" s="109" t="s">
        <v>411</v>
      </c>
      <c r="L71" s="159" t="s">
        <v>412</v>
      </c>
      <c r="M71" s="108" t="s">
        <v>289</v>
      </c>
      <c r="N71" s="168">
        <v>76800</v>
      </c>
    </row>
    <row r="72" spans="2:14" ht="13.5" customHeight="1" x14ac:dyDescent="0.25">
      <c r="B72" s="96" t="s">
        <v>413</v>
      </c>
      <c r="C72" s="106" t="s">
        <v>414</v>
      </c>
      <c r="D72" s="107" t="s">
        <v>120</v>
      </c>
      <c r="E72" s="98">
        <v>30798</v>
      </c>
      <c r="F72" s="98"/>
      <c r="G72" s="98"/>
      <c r="H72" s="98"/>
      <c r="I72" s="98"/>
      <c r="K72" s="109" t="s">
        <v>415</v>
      </c>
      <c r="L72" s="159" t="s">
        <v>416</v>
      </c>
      <c r="M72" s="108" t="s">
        <v>289</v>
      </c>
      <c r="N72" s="168">
        <v>38800</v>
      </c>
    </row>
    <row r="73" spans="2:14" ht="13.5" customHeight="1" x14ac:dyDescent="0.25">
      <c r="B73" s="96" t="s">
        <v>417</v>
      </c>
      <c r="C73" s="106" t="s">
        <v>418</v>
      </c>
      <c r="D73" s="107" t="s">
        <v>120</v>
      </c>
      <c r="E73" s="98">
        <v>3100</v>
      </c>
      <c r="F73" s="98"/>
      <c r="G73" s="98"/>
      <c r="H73" s="98"/>
      <c r="I73" s="98"/>
      <c r="K73" s="109" t="s">
        <v>419</v>
      </c>
      <c r="L73" s="159" t="s">
        <v>420</v>
      </c>
      <c r="M73" s="108" t="s">
        <v>289</v>
      </c>
      <c r="N73" s="168">
        <v>113200</v>
      </c>
    </row>
    <row r="74" spans="2:14" ht="13.5" customHeight="1" x14ac:dyDescent="0.25">
      <c r="B74" s="96" t="s">
        <v>421</v>
      </c>
      <c r="C74" s="106" t="s">
        <v>422</v>
      </c>
      <c r="D74" s="107" t="s">
        <v>136</v>
      </c>
      <c r="E74" s="98">
        <v>4700</v>
      </c>
      <c r="F74" s="98"/>
      <c r="G74" s="98"/>
      <c r="H74" s="98"/>
      <c r="I74" s="98"/>
      <c r="K74" s="109" t="s">
        <v>423</v>
      </c>
      <c r="L74" s="159" t="s">
        <v>424</v>
      </c>
      <c r="M74" s="108" t="s">
        <v>289</v>
      </c>
      <c r="N74" s="168">
        <v>15800</v>
      </c>
    </row>
    <row r="75" spans="2:14" ht="13.5" customHeight="1" x14ac:dyDescent="0.25">
      <c r="B75" s="96" t="s">
        <v>425</v>
      </c>
      <c r="C75" s="106" t="s">
        <v>426</v>
      </c>
      <c r="D75" s="107"/>
      <c r="E75" s="98">
        <v>24650</v>
      </c>
      <c r="F75" s="98"/>
      <c r="G75" s="98"/>
      <c r="H75" s="98"/>
      <c r="I75" s="98"/>
      <c r="K75" s="109" t="s">
        <v>427</v>
      </c>
      <c r="L75" s="159" t="s">
        <v>428</v>
      </c>
      <c r="M75" s="108" t="s">
        <v>289</v>
      </c>
      <c r="N75" s="168">
        <v>55100</v>
      </c>
    </row>
    <row r="76" spans="2:14" ht="13.5" customHeight="1" x14ac:dyDescent="0.25">
      <c r="B76" s="96" t="s">
        <v>429</v>
      </c>
      <c r="C76" s="106" t="s">
        <v>430</v>
      </c>
      <c r="D76" s="107"/>
      <c r="E76" s="98">
        <v>39900</v>
      </c>
      <c r="F76" s="98"/>
      <c r="G76" s="98"/>
      <c r="H76" s="98"/>
      <c r="I76" s="98"/>
      <c r="K76" s="109" t="s">
        <v>431</v>
      </c>
      <c r="L76" s="159" t="s">
        <v>432</v>
      </c>
      <c r="M76" s="108" t="s">
        <v>289</v>
      </c>
      <c r="N76" s="168">
        <v>76800</v>
      </c>
    </row>
    <row r="77" spans="2:14" ht="13.5" customHeight="1" x14ac:dyDescent="0.25">
      <c r="B77" s="96" t="s">
        <v>433</v>
      </c>
      <c r="C77" s="106" t="s">
        <v>434</v>
      </c>
      <c r="D77" s="107" t="s">
        <v>120</v>
      </c>
      <c r="E77" s="98">
        <v>35550</v>
      </c>
      <c r="F77" s="98"/>
      <c r="G77" s="98"/>
      <c r="H77" s="98"/>
      <c r="I77" s="98"/>
      <c r="K77" s="109" t="s">
        <v>435</v>
      </c>
      <c r="L77" s="159" t="s">
        <v>436</v>
      </c>
      <c r="M77" s="108" t="s">
        <v>289</v>
      </c>
      <c r="N77" s="168">
        <v>52600</v>
      </c>
    </row>
    <row r="78" spans="2:14" ht="13.5" customHeight="1" x14ac:dyDescent="0.25">
      <c r="B78" s="96" t="s">
        <v>437</v>
      </c>
      <c r="C78" s="106" t="s">
        <v>438</v>
      </c>
      <c r="D78" s="107" t="s">
        <v>120</v>
      </c>
      <c r="E78" s="98">
        <v>110000</v>
      </c>
      <c r="F78" s="98"/>
      <c r="G78" s="98"/>
      <c r="H78" s="98"/>
      <c r="I78" s="98"/>
      <c r="K78" s="109" t="s">
        <v>439</v>
      </c>
      <c r="L78" s="159" t="s">
        <v>440</v>
      </c>
      <c r="M78" s="108" t="s">
        <v>289</v>
      </c>
      <c r="N78" s="168">
        <v>45300</v>
      </c>
    </row>
    <row r="79" spans="2:14" ht="13.5" customHeight="1" x14ac:dyDescent="0.25">
      <c r="B79" s="96" t="s">
        <v>441</v>
      </c>
      <c r="C79" s="106" t="s">
        <v>442</v>
      </c>
      <c r="D79" s="107" t="s">
        <v>120</v>
      </c>
      <c r="E79" s="98">
        <v>13392100</v>
      </c>
      <c r="F79" s="98"/>
      <c r="G79" s="98"/>
      <c r="H79" s="98"/>
      <c r="I79" s="98"/>
      <c r="K79" s="109" t="s">
        <v>443</v>
      </c>
      <c r="L79" s="159" t="s">
        <v>444</v>
      </c>
      <c r="M79" s="108" t="s">
        <v>289</v>
      </c>
      <c r="N79" s="168">
        <v>33600</v>
      </c>
    </row>
    <row r="80" spans="2:14" ht="13.5" customHeight="1" x14ac:dyDescent="0.25">
      <c r="B80" s="96" t="s">
        <v>445</v>
      </c>
      <c r="C80" s="106" t="s">
        <v>446</v>
      </c>
      <c r="D80" s="107" t="s">
        <v>447</v>
      </c>
      <c r="E80" s="98">
        <v>8330</v>
      </c>
      <c r="F80" s="98"/>
      <c r="G80" s="98"/>
      <c r="H80" s="98"/>
      <c r="I80" s="98"/>
      <c r="K80" s="109" t="s">
        <v>448</v>
      </c>
      <c r="L80" s="159" t="s">
        <v>449</v>
      </c>
      <c r="M80" s="108" t="s">
        <v>289</v>
      </c>
      <c r="N80" s="168">
        <v>87800</v>
      </c>
    </row>
    <row r="81" spans="2:14" ht="13.5" customHeight="1" x14ac:dyDescent="0.25">
      <c r="B81" s="96" t="s">
        <v>450</v>
      </c>
      <c r="C81" s="106" t="s">
        <v>451</v>
      </c>
      <c r="D81" s="107" t="s">
        <v>136</v>
      </c>
      <c r="E81" s="98">
        <v>500</v>
      </c>
      <c r="F81" s="98"/>
      <c r="G81" s="98"/>
      <c r="H81" s="98"/>
      <c r="I81" s="98"/>
      <c r="K81" s="109" t="s">
        <v>452</v>
      </c>
      <c r="L81" s="159" t="s">
        <v>453</v>
      </c>
      <c r="M81" s="108" t="s">
        <v>289</v>
      </c>
      <c r="N81" s="168">
        <v>53100</v>
      </c>
    </row>
    <row r="82" spans="2:14" ht="13.5" customHeight="1" x14ac:dyDescent="0.25">
      <c r="B82" s="96" t="s">
        <v>454</v>
      </c>
      <c r="C82" s="112" t="s">
        <v>455</v>
      </c>
      <c r="D82" s="107" t="s">
        <v>120</v>
      </c>
      <c r="E82" s="98">
        <v>18600</v>
      </c>
      <c r="F82" s="98"/>
      <c r="G82" s="98"/>
      <c r="H82" s="98"/>
      <c r="I82" s="98"/>
      <c r="K82" s="109" t="s">
        <v>456</v>
      </c>
      <c r="L82" s="167" t="s">
        <v>457</v>
      </c>
      <c r="M82" s="167"/>
      <c r="N82" s="167"/>
    </row>
    <row r="83" spans="2:14" ht="13.5" customHeight="1" x14ac:dyDescent="0.25">
      <c r="B83" s="96" t="s">
        <v>458</v>
      </c>
      <c r="C83" s="112" t="s">
        <v>459</v>
      </c>
      <c r="D83" s="107" t="s">
        <v>120</v>
      </c>
      <c r="E83" s="98">
        <v>1200</v>
      </c>
      <c r="F83" s="98"/>
      <c r="G83" s="98"/>
      <c r="H83" s="98"/>
      <c r="I83" s="98"/>
      <c r="J83" s="170"/>
      <c r="K83" s="109" t="s">
        <v>460</v>
      </c>
      <c r="L83" s="171" t="s">
        <v>461</v>
      </c>
      <c r="M83" s="171" t="s">
        <v>462</v>
      </c>
      <c r="N83" s="171">
        <v>3801600</v>
      </c>
    </row>
    <row r="84" spans="2:14" ht="15" customHeight="1" x14ac:dyDescent="0.25">
      <c r="B84" s="96" t="s">
        <v>463</v>
      </c>
      <c r="C84" s="112" t="s">
        <v>1087</v>
      </c>
      <c r="D84" s="107" t="s">
        <v>160</v>
      </c>
      <c r="E84" s="98">
        <f>131550/95</f>
        <v>1384.7368421052631</v>
      </c>
      <c r="F84" s="98"/>
      <c r="G84" s="98"/>
      <c r="H84" s="98"/>
      <c r="I84" s="98"/>
      <c r="J84" s="172"/>
      <c r="K84" s="109" t="s">
        <v>464</v>
      </c>
      <c r="L84" s="171" t="s">
        <v>465</v>
      </c>
      <c r="M84" s="171" t="s">
        <v>462</v>
      </c>
      <c r="N84" s="171">
        <v>3497500</v>
      </c>
    </row>
    <row r="85" spans="2:14" ht="13.5" customHeight="1" x14ac:dyDescent="0.25">
      <c r="B85" s="96" t="s">
        <v>466</v>
      </c>
      <c r="C85" s="112" t="s">
        <v>467</v>
      </c>
      <c r="D85" s="107" t="s">
        <v>160</v>
      </c>
      <c r="E85" s="173">
        <f>3857/0.59</f>
        <v>6537.2881355932204</v>
      </c>
      <c r="F85" s="173"/>
      <c r="G85" s="173"/>
      <c r="H85" s="173"/>
      <c r="I85" s="173"/>
      <c r="J85" s="172"/>
      <c r="K85" s="109" t="s">
        <v>468</v>
      </c>
      <c r="L85" s="171" t="s">
        <v>469</v>
      </c>
      <c r="M85" s="171" t="s">
        <v>462</v>
      </c>
      <c r="N85" s="171">
        <v>4076300</v>
      </c>
    </row>
    <row r="86" spans="2:14" ht="15.75" customHeight="1" x14ac:dyDescent="0.25">
      <c r="B86" s="96" t="s">
        <v>470</v>
      </c>
      <c r="C86" s="112" t="s">
        <v>471</v>
      </c>
      <c r="D86" s="107" t="s">
        <v>160</v>
      </c>
      <c r="E86" s="98">
        <v>4200</v>
      </c>
      <c r="F86" s="98"/>
      <c r="G86" s="98"/>
      <c r="H86" s="98"/>
      <c r="I86" s="98"/>
      <c r="J86" s="172"/>
      <c r="K86" s="109" t="s">
        <v>472</v>
      </c>
      <c r="L86" s="171" t="s">
        <v>473</v>
      </c>
      <c r="M86" s="171" t="s">
        <v>462</v>
      </c>
      <c r="N86" s="171">
        <v>3954400</v>
      </c>
    </row>
    <row r="87" spans="2:14" ht="13.5" customHeight="1" x14ac:dyDescent="0.25">
      <c r="B87" s="96" t="s">
        <v>474</v>
      </c>
      <c r="C87" s="112" t="s">
        <v>475</v>
      </c>
      <c r="D87" s="107" t="s">
        <v>160</v>
      </c>
      <c r="E87" s="98">
        <f>1089450/(6*31.3)</f>
        <v>5801.1182108626199</v>
      </c>
      <c r="F87" s="98"/>
      <c r="G87" s="98"/>
      <c r="H87" s="98"/>
      <c r="I87" s="98"/>
      <c r="J87" s="172"/>
      <c r="K87" s="109" t="s">
        <v>476</v>
      </c>
      <c r="L87" s="171" t="s">
        <v>477</v>
      </c>
      <c r="M87" s="171" t="s">
        <v>462</v>
      </c>
      <c r="N87" s="171">
        <v>4245500</v>
      </c>
    </row>
    <row r="88" spans="2:14" ht="14.25" customHeight="1" x14ac:dyDescent="0.25">
      <c r="B88" s="96" t="s">
        <v>478</v>
      </c>
      <c r="C88" s="112" t="s">
        <v>479</v>
      </c>
      <c r="D88" s="107" t="s">
        <v>120</v>
      </c>
      <c r="E88" s="98">
        <v>27000</v>
      </c>
      <c r="F88" s="98"/>
      <c r="G88" s="98"/>
      <c r="H88" s="98"/>
      <c r="I88" s="98"/>
      <c r="J88" s="172"/>
      <c r="K88" s="109" t="s">
        <v>480</v>
      </c>
      <c r="L88" s="171" t="s">
        <v>481</v>
      </c>
      <c r="M88" s="171" t="s">
        <v>462</v>
      </c>
      <c r="N88" s="171">
        <v>4459300</v>
      </c>
    </row>
    <row r="89" spans="2:14" ht="15.75" customHeight="1" x14ac:dyDescent="0.25">
      <c r="B89" s="96" t="s">
        <v>482</v>
      </c>
      <c r="C89" s="112" t="s">
        <v>483</v>
      </c>
      <c r="D89" s="107" t="s">
        <v>120</v>
      </c>
      <c r="E89" s="98">
        <v>27000</v>
      </c>
      <c r="F89" s="98"/>
      <c r="G89" s="98"/>
      <c r="H89" s="98"/>
      <c r="I89" s="98"/>
      <c r="J89" s="172"/>
      <c r="K89" s="109" t="s">
        <v>484</v>
      </c>
      <c r="L89" s="171" t="s">
        <v>485</v>
      </c>
      <c r="M89" s="171" t="s">
        <v>462</v>
      </c>
      <c r="N89" s="171">
        <v>4459300</v>
      </c>
    </row>
    <row r="90" spans="2:14" ht="15.75" customHeight="1" x14ac:dyDescent="0.25">
      <c r="B90" s="96" t="s">
        <v>486</v>
      </c>
      <c r="C90" s="112" t="s">
        <v>487</v>
      </c>
      <c r="D90" s="107" t="s">
        <v>120</v>
      </c>
      <c r="E90" s="98">
        <v>27000</v>
      </c>
      <c r="F90" s="98"/>
      <c r="G90" s="98"/>
      <c r="H90" s="98"/>
      <c r="I90" s="98"/>
      <c r="J90" s="172"/>
      <c r="K90" s="109" t="s">
        <v>488</v>
      </c>
      <c r="L90" s="171" t="s">
        <v>489</v>
      </c>
      <c r="M90" s="171" t="s">
        <v>462</v>
      </c>
      <c r="N90" s="171">
        <v>4989600</v>
      </c>
    </row>
    <row r="91" spans="2:14" ht="15" customHeight="1" x14ac:dyDescent="0.25">
      <c r="B91" s="96" t="s">
        <v>490</v>
      </c>
      <c r="C91" s="112" t="s">
        <v>491</v>
      </c>
      <c r="D91" s="107" t="s">
        <v>120</v>
      </c>
      <c r="E91" s="98">
        <v>27000</v>
      </c>
      <c r="F91" s="98"/>
      <c r="G91" s="98"/>
      <c r="H91" s="98"/>
      <c r="I91" s="98"/>
      <c r="J91" s="172"/>
      <c r="K91" s="109" t="s">
        <v>492</v>
      </c>
      <c r="L91" s="171" t="s">
        <v>493</v>
      </c>
      <c r="M91" s="171" t="s">
        <v>462</v>
      </c>
      <c r="N91" s="171">
        <v>5623200</v>
      </c>
    </row>
    <row r="92" spans="2:14" ht="13.5" customHeight="1" x14ac:dyDescent="0.25">
      <c r="B92" s="96" t="s">
        <v>494</v>
      </c>
      <c r="C92" s="112" t="s">
        <v>495</v>
      </c>
      <c r="D92" s="107" t="s">
        <v>120</v>
      </c>
      <c r="E92" s="98">
        <v>27000</v>
      </c>
      <c r="F92" s="98"/>
      <c r="G92" s="98"/>
      <c r="H92" s="98"/>
      <c r="I92" s="98"/>
      <c r="J92" s="172"/>
      <c r="K92" s="109" t="s">
        <v>496</v>
      </c>
      <c r="L92" s="171" t="s">
        <v>497</v>
      </c>
      <c r="M92" s="171" t="s">
        <v>462</v>
      </c>
      <c r="N92" s="171">
        <v>5968800</v>
      </c>
    </row>
    <row r="93" spans="2:14" ht="13.5" customHeight="1" x14ac:dyDescent="0.25">
      <c r="B93" s="96" t="s">
        <v>498</v>
      </c>
      <c r="C93" s="112" t="s">
        <v>499</v>
      </c>
      <c r="D93" s="107" t="s">
        <v>160</v>
      </c>
      <c r="E93" s="98">
        <v>20800</v>
      </c>
      <c r="F93" s="98"/>
      <c r="G93" s="98"/>
      <c r="H93" s="98"/>
      <c r="I93" s="98"/>
      <c r="J93" s="172"/>
      <c r="K93" s="109" t="s">
        <v>500</v>
      </c>
      <c r="L93" s="171" t="s">
        <v>501</v>
      </c>
      <c r="M93" s="171" t="s">
        <v>462</v>
      </c>
      <c r="N93" s="171">
        <v>6364500</v>
      </c>
    </row>
    <row r="94" spans="2:14" ht="13.5" customHeight="1" x14ac:dyDescent="0.25">
      <c r="B94" s="96" t="s">
        <v>502</v>
      </c>
      <c r="C94" s="112" t="s">
        <v>503</v>
      </c>
      <c r="D94" s="107" t="s">
        <v>120</v>
      </c>
      <c r="E94" s="98">
        <v>150000</v>
      </c>
      <c r="F94" s="98"/>
      <c r="G94" s="98"/>
      <c r="H94" s="98"/>
      <c r="I94" s="98"/>
      <c r="J94" s="172"/>
      <c r="K94" s="109" t="s">
        <v>504</v>
      </c>
      <c r="L94" s="171" t="s">
        <v>505</v>
      </c>
      <c r="M94" s="171" t="s">
        <v>462</v>
      </c>
      <c r="N94" s="171">
        <v>6523200</v>
      </c>
    </row>
    <row r="95" spans="2:14" ht="13.5" customHeight="1" x14ac:dyDescent="0.25">
      <c r="B95" s="96" t="s">
        <v>506</v>
      </c>
      <c r="C95" s="112" t="s">
        <v>507</v>
      </c>
      <c r="D95" s="107" t="s">
        <v>136</v>
      </c>
      <c r="E95" s="98">
        <v>11900</v>
      </c>
      <c r="F95" s="98"/>
      <c r="G95" s="98"/>
      <c r="H95" s="98"/>
      <c r="I95" s="98"/>
      <c r="J95" s="172"/>
      <c r="K95" s="109" t="s">
        <v>508</v>
      </c>
      <c r="L95" s="171" t="s">
        <v>509</v>
      </c>
      <c r="M95" s="171" t="s">
        <v>462</v>
      </c>
      <c r="N95" s="171">
        <v>6984000</v>
      </c>
    </row>
    <row r="96" spans="2:14" ht="13.5" customHeight="1" x14ac:dyDescent="0.25">
      <c r="B96" s="96" t="s">
        <v>510</v>
      </c>
      <c r="C96" s="112" t="s">
        <v>511</v>
      </c>
      <c r="D96" s="107" t="s">
        <v>512</v>
      </c>
      <c r="E96" s="98">
        <v>74900</v>
      </c>
      <c r="F96" s="98"/>
      <c r="G96" s="98"/>
      <c r="H96" s="98"/>
      <c r="I96" s="98"/>
      <c r="J96" s="172"/>
      <c r="K96" s="109" t="s">
        <v>513</v>
      </c>
      <c r="L96" s="171" t="s">
        <v>514</v>
      </c>
      <c r="M96" s="171" t="s">
        <v>462</v>
      </c>
      <c r="N96" s="171">
        <v>8896700</v>
      </c>
    </row>
    <row r="97" spans="2:14" ht="13.5" customHeight="1" x14ac:dyDescent="0.25">
      <c r="B97" s="96" t="s">
        <v>515</v>
      </c>
      <c r="C97" s="112" t="s">
        <v>516</v>
      </c>
      <c r="D97" s="107" t="s">
        <v>512</v>
      </c>
      <c r="E97" s="98">
        <f>1549000/5</f>
        <v>309800</v>
      </c>
      <c r="F97" s="98"/>
      <c r="G97" s="98"/>
      <c r="H97" s="98"/>
      <c r="I97" s="98"/>
      <c r="J97" s="172"/>
      <c r="K97" s="109" t="s">
        <v>517</v>
      </c>
      <c r="L97" s="171" t="s">
        <v>518</v>
      </c>
      <c r="M97" s="171" t="s">
        <v>462</v>
      </c>
      <c r="N97" s="171">
        <v>10134700</v>
      </c>
    </row>
    <row r="98" spans="2:14" ht="13.5" customHeight="1" x14ac:dyDescent="0.25">
      <c r="B98" s="96" t="s">
        <v>519</v>
      </c>
      <c r="C98" s="112" t="s">
        <v>520</v>
      </c>
      <c r="D98" s="107" t="s">
        <v>512</v>
      </c>
      <c r="E98" s="98">
        <v>34790</v>
      </c>
      <c r="F98" s="98"/>
      <c r="G98" s="98"/>
      <c r="H98" s="98"/>
      <c r="I98" s="98"/>
      <c r="J98" s="172"/>
      <c r="K98" s="109" t="s">
        <v>521</v>
      </c>
      <c r="L98" s="171" t="s">
        <v>522</v>
      </c>
      <c r="M98" s="171" t="s">
        <v>462</v>
      </c>
      <c r="N98" s="171">
        <v>12196800</v>
      </c>
    </row>
    <row r="99" spans="2:14" ht="13.5" customHeight="1" x14ac:dyDescent="0.25">
      <c r="B99" s="96" t="s">
        <v>523</v>
      </c>
      <c r="C99" s="112" t="s">
        <v>524</v>
      </c>
      <c r="D99" s="107" t="s">
        <v>120</v>
      </c>
      <c r="E99" s="98">
        <v>1850</v>
      </c>
      <c r="F99" s="98"/>
      <c r="G99" s="98"/>
      <c r="H99" s="98"/>
      <c r="I99" s="98"/>
      <c r="J99" s="172"/>
      <c r="K99" s="109" t="s">
        <v>525</v>
      </c>
      <c r="L99" s="171" t="s">
        <v>526</v>
      </c>
      <c r="M99" s="171" t="s">
        <v>462</v>
      </c>
      <c r="N99" s="171">
        <v>16990600</v>
      </c>
    </row>
    <row r="100" spans="2:14" ht="13.5" customHeight="1" x14ac:dyDescent="0.25">
      <c r="B100" s="96" t="s">
        <v>527</v>
      </c>
      <c r="C100" s="112" t="s">
        <v>528</v>
      </c>
      <c r="D100" s="107" t="s">
        <v>120</v>
      </c>
      <c r="E100" s="98">
        <v>27500</v>
      </c>
      <c r="F100" s="98"/>
      <c r="G100" s="98"/>
      <c r="H100" s="98"/>
      <c r="I100" s="98"/>
      <c r="J100" s="172"/>
      <c r="K100" s="109" t="s">
        <v>529</v>
      </c>
      <c r="L100" s="171" t="s">
        <v>530</v>
      </c>
      <c r="M100" s="171" t="s">
        <v>462</v>
      </c>
      <c r="N100" s="171">
        <v>3000000</v>
      </c>
    </row>
    <row r="101" spans="2:14" ht="13.5" customHeight="1" x14ac:dyDescent="0.25">
      <c r="B101" s="96" t="s">
        <v>531</v>
      </c>
      <c r="C101" s="112" t="s">
        <v>532</v>
      </c>
      <c r="D101" s="107" t="s">
        <v>160</v>
      </c>
      <c r="E101" s="98">
        <v>5801.12</v>
      </c>
      <c r="F101" s="98"/>
      <c r="G101" s="98"/>
      <c r="H101" s="98"/>
      <c r="I101" s="98"/>
      <c r="J101" s="172"/>
      <c r="K101" s="109" t="s">
        <v>533</v>
      </c>
    </row>
    <row r="102" spans="2:14" ht="13.5" customHeight="1" x14ac:dyDescent="0.25">
      <c r="B102" s="96" t="s">
        <v>534</v>
      </c>
      <c r="C102" s="112" t="s">
        <v>535</v>
      </c>
      <c r="D102" s="107" t="s">
        <v>160</v>
      </c>
      <c r="E102" s="98">
        <v>5801.12</v>
      </c>
      <c r="F102" s="98"/>
      <c r="G102" s="98"/>
      <c r="H102" s="98"/>
      <c r="I102" s="98"/>
      <c r="J102" s="125"/>
      <c r="K102" s="109" t="s">
        <v>536</v>
      </c>
      <c r="L102" s="172" t="s">
        <v>537</v>
      </c>
      <c r="N102" s="172" t="s">
        <v>538</v>
      </c>
    </row>
    <row r="103" spans="2:14" ht="13.5" customHeight="1" x14ac:dyDescent="0.25">
      <c r="B103" s="96" t="s">
        <v>539</v>
      </c>
      <c r="C103" s="112" t="s">
        <v>540</v>
      </c>
      <c r="D103" s="107" t="s">
        <v>136</v>
      </c>
      <c r="E103" s="98">
        <f>14280/3</f>
        <v>4760</v>
      </c>
      <c r="F103" s="98"/>
      <c r="G103" s="98"/>
      <c r="H103" s="98"/>
      <c r="I103" s="98"/>
      <c r="K103" s="109" t="s">
        <v>541</v>
      </c>
      <c r="L103" s="172" t="s">
        <v>542</v>
      </c>
      <c r="N103" s="172" t="s">
        <v>543</v>
      </c>
    </row>
    <row r="104" spans="2:14" ht="13.5" customHeight="1" x14ac:dyDescent="0.25">
      <c r="B104" s="96" t="s">
        <v>544</v>
      </c>
      <c r="C104" s="112" t="s">
        <v>535</v>
      </c>
      <c r="D104" s="107" t="s">
        <v>160</v>
      </c>
      <c r="E104" s="98">
        <v>5801.12</v>
      </c>
      <c r="F104" s="98"/>
      <c r="G104" s="98"/>
      <c r="H104" s="98"/>
      <c r="I104" s="98"/>
      <c r="K104" s="109" t="s">
        <v>545</v>
      </c>
      <c r="L104" s="172" t="s">
        <v>546</v>
      </c>
      <c r="N104" s="172" t="s">
        <v>547</v>
      </c>
    </row>
    <row r="105" spans="2:14" ht="13.5" customHeight="1" x14ac:dyDescent="0.25">
      <c r="B105" s="96" t="s">
        <v>548</v>
      </c>
      <c r="C105" s="112" t="s">
        <v>549</v>
      </c>
      <c r="D105" s="107" t="s">
        <v>160</v>
      </c>
      <c r="E105" s="98">
        <f>3550*1.19</f>
        <v>4224.5</v>
      </c>
      <c r="F105" s="98"/>
      <c r="G105" s="98"/>
      <c r="H105" s="98"/>
      <c r="I105" s="98"/>
      <c r="K105" s="109" t="s">
        <v>550</v>
      </c>
      <c r="L105" s="172" t="s">
        <v>551</v>
      </c>
      <c r="N105" s="172" t="s">
        <v>552</v>
      </c>
    </row>
    <row r="106" spans="2:14" ht="13.5" customHeight="1" x14ac:dyDescent="0.25">
      <c r="B106" s="96" t="s">
        <v>553</v>
      </c>
      <c r="C106" s="112" t="s">
        <v>554</v>
      </c>
      <c r="D106" s="107" t="s">
        <v>120</v>
      </c>
      <c r="E106" s="98">
        <v>1383.33</v>
      </c>
      <c r="F106" s="98"/>
      <c r="G106" s="98"/>
      <c r="H106" s="98"/>
      <c r="I106" s="98"/>
      <c r="K106" s="109" t="s">
        <v>555</v>
      </c>
      <c r="L106" s="172" t="s">
        <v>556</v>
      </c>
      <c r="N106" s="172" t="s">
        <v>557</v>
      </c>
    </row>
    <row r="107" spans="2:14" ht="13.5" customHeight="1" x14ac:dyDescent="0.25">
      <c r="B107" s="96" t="s">
        <v>558</v>
      </c>
      <c r="C107" s="174" t="s">
        <v>559</v>
      </c>
      <c r="D107" s="107" t="s">
        <v>120</v>
      </c>
      <c r="E107" s="98">
        <v>22000</v>
      </c>
      <c r="F107" s="98"/>
      <c r="G107" s="98"/>
      <c r="H107" s="98"/>
      <c r="I107" s="98"/>
      <c r="J107" s="175"/>
      <c r="K107" s="109" t="s">
        <v>560</v>
      </c>
      <c r="L107" s="172" t="s">
        <v>561</v>
      </c>
      <c r="N107" s="172" t="s">
        <v>562</v>
      </c>
    </row>
    <row r="108" spans="2:14" ht="13.5" customHeight="1" x14ac:dyDescent="0.25">
      <c r="B108" s="96" t="s">
        <v>563</v>
      </c>
      <c r="C108" s="174" t="s">
        <v>564</v>
      </c>
      <c r="D108" s="107" t="s">
        <v>120</v>
      </c>
      <c r="E108" s="98">
        <v>4350</v>
      </c>
      <c r="F108" s="98"/>
      <c r="G108" s="98"/>
      <c r="H108" s="98"/>
      <c r="I108" s="98"/>
      <c r="K108" s="109" t="s">
        <v>565</v>
      </c>
      <c r="L108" s="172" t="s">
        <v>566</v>
      </c>
      <c r="N108" s="172" t="s">
        <v>567</v>
      </c>
    </row>
    <row r="109" spans="2:14" ht="13.5" customHeight="1" x14ac:dyDescent="0.25">
      <c r="B109" s="96" t="s">
        <v>568</v>
      </c>
      <c r="C109" s="174" t="s">
        <v>569</v>
      </c>
      <c r="D109" s="107" t="s">
        <v>120</v>
      </c>
      <c r="E109" s="98">
        <v>2000</v>
      </c>
      <c r="F109" s="98"/>
      <c r="G109" s="98"/>
      <c r="H109" s="98"/>
      <c r="I109" s="98"/>
      <c r="K109" s="109" t="s">
        <v>570</v>
      </c>
      <c r="L109" s="172" t="s">
        <v>571</v>
      </c>
      <c r="N109" s="172" t="s">
        <v>572</v>
      </c>
    </row>
    <row r="110" spans="2:14" ht="13.5" customHeight="1" x14ac:dyDescent="0.25">
      <c r="B110" s="96" t="s">
        <v>573</v>
      </c>
      <c r="C110" s="112" t="s">
        <v>574</v>
      </c>
      <c r="D110" s="107" t="s">
        <v>120</v>
      </c>
      <c r="E110" s="98">
        <v>27000</v>
      </c>
      <c r="F110" s="98"/>
      <c r="G110" s="98"/>
      <c r="H110" s="98"/>
      <c r="I110" s="98"/>
      <c r="K110" s="109" t="s">
        <v>575</v>
      </c>
      <c r="L110" s="172" t="s">
        <v>576</v>
      </c>
      <c r="N110" s="172" t="s">
        <v>577</v>
      </c>
    </row>
    <row r="111" spans="2:14" ht="13.5" customHeight="1" x14ac:dyDescent="0.25">
      <c r="B111" s="96" t="s">
        <v>578</v>
      </c>
      <c r="C111" s="112" t="s">
        <v>579</v>
      </c>
      <c r="D111" s="107" t="s">
        <v>160</v>
      </c>
      <c r="E111" s="98">
        <v>8989.24</v>
      </c>
      <c r="F111" s="98"/>
      <c r="G111" s="98"/>
      <c r="H111" s="98"/>
      <c r="I111" s="98"/>
      <c r="K111" s="109" t="s">
        <v>580</v>
      </c>
      <c r="L111" s="172" t="s">
        <v>581</v>
      </c>
      <c r="N111" s="172" t="s">
        <v>582</v>
      </c>
    </row>
    <row r="112" spans="2:14" ht="13.5" customHeight="1" x14ac:dyDescent="0.25">
      <c r="B112" s="96" t="s">
        <v>583</v>
      </c>
      <c r="C112" s="109" t="s">
        <v>584</v>
      </c>
      <c r="D112" s="176" t="s">
        <v>160</v>
      </c>
      <c r="E112" s="177">
        <f>3449*1.16</f>
        <v>4000.8399999999997</v>
      </c>
      <c r="F112" s="177"/>
      <c r="G112" s="177"/>
      <c r="H112" s="177"/>
      <c r="I112" s="177"/>
      <c r="K112" s="109" t="s">
        <v>585</v>
      </c>
      <c r="L112" s="172" t="s">
        <v>586</v>
      </c>
      <c r="N112" s="172" t="s">
        <v>587</v>
      </c>
    </row>
    <row r="113" spans="1:14" ht="13.5" customHeight="1" x14ac:dyDescent="0.25">
      <c r="B113" s="109" t="s">
        <v>588</v>
      </c>
      <c r="C113" s="112" t="s">
        <v>589</v>
      </c>
      <c r="D113" s="107" t="s">
        <v>120</v>
      </c>
      <c r="E113" s="98">
        <v>37000</v>
      </c>
      <c r="F113" s="98"/>
      <c r="G113" s="98"/>
      <c r="H113" s="98"/>
      <c r="I113" s="98"/>
      <c r="J113" s="175"/>
      <c r="K113" s="109" t="s">
        <v>590</v>
      </c>
      <c r="L113" s="172" t="s">
        <v>591</v>
      </c>
      <c r="N113" s="172" t="s">
        <v>592</v>
      </c>
    </row>
    <row r="114" spans="1:14" ht="13.5" customHeight="1" x14ac:dyDescent="0.25">
      <c r="B114" s="96" t="s">
        <v>593</v>
      </c>
      <c r="C114" s="106" t="s">
        <v>594</v>
      </c>
      <c r="D114" s="107" t="s">
        <v>57</v>
      </c>
      <c r="E114" s="98">
        <v>96300</v>
      </c>
      <c r="F114" s="98"/>
      <c r="G114" s="98"/>
      <c r="H114" s="98"/>
      <c r="I114" s="98"/>
      <c r="K114" s="109" t="s">
        <v>595</v>
      </c>
      <c r="L114" s="172" t="s">
        <v>596</v>
      </c>
      <c r="N114" s="172" t="s">
        <v>597</v>
      </c>
    </row>
    <row r="115" spans="1:14" ht="13.5" customHeight="1" x14ac:dyDescent="0.25">
      <c r="B115" s="96" t="s">
        <v>598</v>
      </c>
      <c r="C115" s="106" t="s">
        <v>599</v>
      </c>
      <c r="D115" s="107" t="s">
        <v>160</v>
      </c>
      <c r="E115" s="98">
        <f>1089450/(6*31.3)</f>
        <v>5801.1182108626199</v>
      </c>
      <c r="F115" s="98"/>
      <c r="G115" s="98"/>
      <c r="H115" s="98"/>
      <c r="I115" s="98"/>
      <c r="K115" s="109" t="s">
        <v>600</v>
      </c>
      <c r="L115" s="172" t="s">
        <v>601</v>
      </c>
      <c r="N115" s="172" t="s">
        <v>602</v>
      </c>
    </row>
    <row r="116" spans="1:14" ht="13.5" customHeight="1" x14ac:dyDescent="0.25">
      <c r="B116" s="96" t="s">
        <v>603</v>
      </c>
      <c r="C116" s="106" t="s">
        <v>604</v>
      </c>
      <c r="D116" s="107" t="s">
        <v>120</v>
      </c>
      <c r="E116" s="98">
        <f>24900/2</f>
        <v>12450</v>
      </c>
      <c r="F116" s="98"/>
      <c r="G116" s="98"/>
      <c r="H116" s="98"/>
      <c r="I116" s="98"/>
      <c r="K116" s="109" t="s">
        <v>605</v>
      </c>
      <c r="L116" s="172" t="s">
        <v>606</v>
      </c>
      <c r="N116" s="172" t="s">
        <v>607</v>
      </c>
    </row>
    <row r="117" spans="1:14" ht="13.5" customHeight="1" x14ac:dyDescent="0.25">
      <c r="B117" s="96" t="s">
        <v>608</v>
      </c>
      <c r="C117" s="106" t="s">
        <v>609</v>
      </c>
      <c r="D117" s="107" t="s">
        <v>512</v>
      </c>
      <c r="E117" s="98">
        <v>69900</v>
      </c>
      <c r="F117" s="98"/>
      <c r="G117" s="98"/>
      <c r="H117" s="98"/>
      <c r="I117" s="98"/>
      <c r="K117" s="109" t="s">
        <v>610</v>
      </c>
      <c r="L117" s="172" t="s">
        <v>611</v>
      </c>
      <c r="N117" s="172" t="s">
        <v>612</v>
      </c>
    </row>
    <row r="118" spans="1:14" ht="13.5" customHeight="1" x14ac:dyDescent="0.25">
      <c r="B118" s="96" t="s">
        <v>613</v>
      </c>
      <c r="C118" s="106" t="s">
        <v>1089</v>
      </c>
      <c r="D118" s="107" t="s">
        <v>512</v>
      </c>
      <c r="E118" s="98">
        <v>106800</v>
      </c>
      <c r="F118" s="98"/>
      <c r="G118" s="98"/>
      <c r="H118" s="98"/>
      <c r="I118" s="98"/>
      <c r="K118" s="109" t="s">
        <v>614</v>
      </c>
      <c r="L118" s="172" t="s">
        <v>615</v>
      </c>
      <c r="N118" s="172" t="s">
        <v>616</v>
      </c>
    </row>
    <row r="119" spans="1:14" ht="13.5" customHeight="1" x14ac:dyDescent="0.25">
      <c r="A119" s="178">
        <f>+(41186*0.15)/6</f>
        <v>1029.6499999999999</v>
      </c>
      <c r="B119" s="96" t="s">
        <v>617</v>
      </c>
      <c r="C119" s="106" t="s">
        <v>618</v>
      </c>
      <c r="D119" s="107" t="s">
        <v>120</v>
      </c>
      <c r="E119" s="98">
        <v>12544</v>
      </c>
      <c r="F119" s="98"/>
      <c r="G119" s="98"/>
      <c r="H119" s="98"/>
      <c r="I119" s="98"/>
      <c r="K119" s="109" t="s">
        <v>619</v>
      </c>
      <c r="L119" s="172" t="s">
        <v>620</v>
      </c>
      <c r="N119" s="172" t="s">
        <v>621</v>
      </c>
    </row>
    <row r="120" spans="1:14" ht="13.5" customHeight="1" x14ac:dyDescent="0.25">
      <c r="B120" s="96" t="s">
        <v>622</v>
      </c>
      <c r="C120" s="106" t="s">
        <v>623</v>
      </c>
      <c r="D120" s="107" t="s">
        <v>160</v>
      </c>
      <c r="E120" s="98">
        <v>27900</v>
      </c>
      <c r="F120" s="98"/>
      <c r="G120" s="98"/>
      <c r="H120" s="98"/>
      <c r="I120" s="98"/>
      <c r="K120" s="109" t="s">
        <v>624</v>
      </c>
      <c r="L120" s="172" t="s">
        <v>625</v>
      </c>
      <c r="N120" s="172" t="s">
        <v>626</v>
      </c>
    </row>
    <row r="121" spans="1:14" ht="13.5" customHeight="1" x14ac:dyDescent="0.25">
      <c r="B121" s="96" t="s">
        <v>627</v>
      </c>
      <c r="C121" s="106" t="s">
        <v>628</v>
      </c>
      <c r="D121" s="107" t="s">
        <v>160</v>
      </c>
      <c r="E121" s="98">
        <f>85900*3</f>
        <v>257700</v>
      </c>
      <c r="F121" s="98"/>
      <c r="G121" s="98"/>
      <c r="H121" s="98"/>
      <c r="I121" s="98"/>
      <c r="K121" s="109" t="s">
        <v>629</v>
      </c>
      <c r="L121" s="172" t="s">
        <v>630</v>
      </c>
      <c r="N121" s="172" t="s">
        <v>626</v>
      </c>
    </row>
    <row r="122" spans="1:14" ht="13.5" customHeight="1" x14ac:dyDescent="0.25">
      <c r="B122" s="96" t="s">
        <v>631</v>
      </c>
      <c r="C122" s="112" t="s">
        <v>632</v>
      </c>
      <c r="D122" s="107" t="s">
        <v>120</v>
      </c>
      <c r="E122" s="98">
        <v>14800</v>
      </c>
      <c r="F122" s="98"/>
      <c r="G122" s="98"/>
      <c r="H122" s="98"/>
      <c r="I122" s="98"/>
      <c r="K122" s="109" t="s">
        <v>633</v>
      </c>
      <c r="L122" s="172" t="s">
        <v>634</v>
      </c>
      <c r="N122" s="172" t="s">
        <v>635</v>
      </c>
    </row>
    <row r="123" spans="1:14" ht="13.5" customHeight="1" x14ac:dyDescent="0.25">
      <c r="B123" s="96" t="s">
        <v>636</v>
      </c>
      <c r="C123" s="112" t="s">
        <v>637</v>
      </c>
      <c r="D123" s="107" t="s">
        <v>160</v>
      </c>
      <c r="E123" s="98">
        <v>8989.24</v>
      </c>
      <c r="F123" s="98"/>
      <c r="G123" s="98"/>
      <c r="H123" s="98"/>
      <c r="I123" s="98"/>
      <c r="K123" s="109" t="s">
        <v>638</v>
      </c>
      <c r="L123" s="172" t="s">
        <v>639</v>
      </c>
      <c r="N123" s="172" t="s">
        <v>640</v>
      </c>
    </row>
    <row r="124" spans="1:14" ht="13.5" customHeight="1" x14ac:dyDescent="0.25">
      <c r="B124" s="96" t="s">
        <v>641</v>
      </c>
      <c r="C124" s="112" t="s">
        <v>642</v>
      </c>
      <c r="D124" s="179" t="s">
        <v>136</v>
      </c>
      <c r="E124" s="98">
        <f>990*2</f>
        <v>1980</v>
      </c>
      <c r="F124" s="98"/>
      <c r="G124" s="98"/>
      <c r="H124" s="98"/>
      <c r="I124" s="98"/>
      <c r="K124" s="109" t="s">
        <v>643</v>
      </c>
      <c r="L124" s="172" t="s">
        <v>644</v>
      </c>
      <c r="N124" s="172" t="s">
        <v>645</v>
      </c>
    </row>
    <row r="125" spans="1:14" ht="13.5" customHeight="1" x14ac:dyDescent="0.25">
      <c r="B125" s="96" t="s">
        <v>646</v>
      </c>
      <c r="C125" s="112" t="s">
        <v>637</v>
      </c>
      <c r="D125" s="107" t="s">
        <v>160</v>
      </c>
      <c r="E125" s="98">
        <v>8989.24</v>
      </c>
      <c r="F125" s="98"/>
      <c r="G125" s="98"/>
      <c r="H125" s="98"/>
      <c r="I125" s="98"/>
      <c r="J125" s="125"/>
      <c r="K125" s="109" t="s">
        <v>647</v>
      </c>
      <c r="L125" s="172" t="s">
        <v>648</v>
      </c>
      <c r="N125" s="172" t="s">
        <v>649</v>
      </c>
    </row>
    <row r="126" spans="1:14" ht="13.5" customHeight="1" x14ac:dyDescent="0.25">
      <c r="B126" s="96" t="s">
        <v>650</v>
      </c>
      <c r="C126" s="112" t="s">
        <v>651</v>
      </c>
      <c r="D126" s="107" t="s">
        <v>120</v>
      </c>
      <c r="E126" s="98">
        <v>600</v>
      </c>
      <c r="F126" s="98"/>
      <c r="G126" s="98"/>
      <c r="H126" s="98"/>
      <c r="I126" s="98"/>
      <c r="K126" s="109" t="s">
        <v>652</v>
      </c>
      <c r="L126" s="172" t="s">
        <v>653</v>
      </c>
      <c r="N126" s="172" t="s">
        <v>654</v>
      </c>
    </row>
    <row r="127" spans="1:14" ht="14.25" customHeight="1" x14ac:dyDescent="0.25">
      <c r="B127" s="96" t="s">
        <v>655</v>
      </c>
      <c r="C127" s="112" t="s">
        <v>656</v>
      </c>
      <c r="D127" s="107" t="s">
        <v>160</v>
      </c>
      <c r="E127" s="98">
        <v>8989.24</v>
      </c>
      <c r="F127" s="98"/>
      <c r="G127" s="98"/>
      <c r="H127" s="98"/>
      <c r="I127" s="98"/>
      <c r="K127" s="109" t="s">
        <v>657</v>
      </c>
      <c r="L127" s="172" t="s">
        <v>658</v>
      </c>
      <c r="N127" s="172" t="s">
        <v>659</v>
      </c>
    </row>
    <row r="128" spans="1:14" ht="13.5" customHeight="1" x14ac:dyDescent="0.25">
      <c r="B128" s="96" t="s">
        <v>660</v>
      </c>
      <c r="C128" s="112" t="s">
        <v>661</v>
      </c>
      <c r="D128" s="107" t="s">
        <v>120</v>
      </c>
      <c r="E128" s="98">
        <v>15900</v>
      </c>
      <c r="F128" s="98"/>
      <c r="G128" s="98"/>
      <c r="H128" s="98"/>
      <c r="I128" s="98"/>
      <c r="K128" s="109" t="s">
        <v>662</v>
      </c>
      <c r="L128" s="172" t="s">
        <v>663</v>
      </c>
      <c r="N128" s="172" t="s">
        <v>664</v>
      </c>
    </row>
    <row r="129" spans="2:14" ht="13.5" customHeight="1" x14ac:dyDescent="0.25">
      <c r="B129" s="96" t="s">
        <v>665</v>
      </c>
      <c r="C129" s="112" t="s">
        <v>666</v>
      </c>
      <c r="D129" s="107" t="s">
        <v>120</v>
      </c>
      <c r="E129" s="98">
        <f>700*1.19</f>
        <v>833</v>
      </c>
      <c r="F129" s="98"/>
      <c r="G129" s="98"/>
      <c r="H129" s="98"/>
      <c r="I129" s="98"/>
      <c r="J129" s="125"/>
      <c r="K129" s="109" t="s">
        <v>667</v>
      </c>
      <c r="L129" s="172" t="s">
        <v>668</v>
      </c>
      <c r="N129" s="172" t="s">
        <v>669</v>
      </c>
    </row>
    <row r="130" spans="2:14" ht="13.5" customHeight="1" x14ac:dyDescent="0.25">
      <c r="B130" s="96" t="s">
        <v>670</v>
      </c>
      <c r="C130" s="112" t="s">
        <v>671</v>
      </c>
      <c r="D130" s="107" t="s">
        <v>136</v>
      </c>
      <c r="E130" s="98">
        <f>46500/6</f>
        <v>7750</v>
      </c>
      <c r="F130" s="98"/>
      <c r="G130" s="98"/>
      <c r="H130" s="98"/>
      <c r="I130" s="98"/>
      <c r="J130" s="180"/>
      <c r="K130" s="109" t="s">
        <v>672</v>
      </c>
      <c r="L130" s="172" t="s">
        <v>673</v>
      </c>
      <c r="N130" s="172" t="s">
        <v>674</v>
      </c>
    </row>
    <row r="131" spans="2:14" ht="13.5" customHeight="1" x14ac:dyDescent="0.25">
      <c r="B131" s="96" t="s">
        <v>675</v>
      </c>
      <c r="C131" s="112" t="s">
        <v>676</v>
      </c>
      <c r="D131" s="107" t="s">
        <v>160</v>
      </c>
      <c r="E131" s="98">
        <f>344349/58.92</f>
        <v>5844.3482688391041</v>
      </c>
      <c r="F131" s="98"/>
      <c r="G131" s="98"/>
      <c r="H131" s="98"/>
      <c r="I131" s="98"/>
      <c r="K131" s="109" t="s">
        <v>677</v>
      </c>
      <c r="L131" s="172" t="s">
        <v>678</v>
      </c>
      <c r="N131" s="172" t="s">
        <v>674</v>
      </c>
    </row>
    <row r="132" spans="2:14" ht="13.5" customHeight="1" x14ac:dyDescent="0.25">
      <c r="B132" s="96" t="s">
        <v>679</v>
      </c>
      <c r="C132" s="112" t="s">
        <v>680</v>
      </c>
      <c r="D132" s="107" t="s">
        <v>160</v>
      </c>
      <c r="E132" s="98">
        <f>799900/(6*22.4)</f>
        <v>5951.6369047619055</v>
      </c>
      <c r="F132" s="98"/>
      <c r="G132" s="98"/>
      <c r="H132" s="98"/>
      <c r="I132" s="98"/>
      <c r="K132" s="109" t="s">
        <v>681</v>
      </c>
      <c r="L132" s="172" t="s">
        <v>682</v>
      </c>
      <c r="N132" s="172" t="s">
        <v>683</v>
      </c>
    </row>
    <row r="133" spans="2:14" ht="13.5" customHeight="1" x14ac:dyDescent="0.25">
      <c r="B133" s="96" t="s">
        <v>684</v>
      </c>
      <c r="C133" s="112" t="s">
        <v>685</v>
      </c>
      <c r="D133" s="107" t="s">
        <v>136</v>
      </c>
      <c r="E133" s="98">
        <f>56900/3</f>
        <v>18966.666666666668</v>
      </c>
      <c r="F133" s="98"/>
      <c r="G133" s="98"/>
      <c r="H133" s="98"/>
      <c r="I133" s="98"/>
      <c r="K133" s="109" t="s">
        <v>686</v>
      </c>
      <c r="L133" s="172" t="s">
        <v>687</v>
      </c>
      <c r="N133" s="172" t="s">
        <v>688</v>
      </c>
    </row>
    <row r="134" spans="2:14" ht="13.5" customHeight="1" x14ac:dyDescent="0.25">
      <c r="B134" s="96" t="s">
        <v>689</v>
      </c>
      <c r="C134" s="112" t="s">
        <v>690</v>
      </c>
      <c r="D134" s="107" t="s">
        <v>136</v>
      </c>
      <c r="E134" s="98">
        <v>1036</v>
      </c>
      <c r="F134" s="98"/>
      <c r="G134" s="98"/>
      <c r="H134" s="98"/>
      <c r="I134" s="98"/>
      <c r="K134" s="109" t="s">
        <v>691</v>
      </c>
      <c r="L134" s="172" t="s">
        <v>692</v>
      </c>
      <c r="N134" s="172" t="s">
        <v>688</v>
      </c>
    </row>
    <row r="135" spans="2:14" ht="13.5" customHeight="1" x14ac:dyDescent="0.25">
      <c r="B135" s="96" t="s">
        <v>693</v>
      </c>
      <c r="C135" s="112" t="s">
        <v>694</v>
      </c>
      <c r="D135" s="107" t="s">
        <v>160</v>
      </c>
      <c r="E135" s="98">
        <v>7900</v>
      </c>
      <c r="F135" s="98"/>
      <c r="G135" s="98"/>
      <c r="H135" s="98"/>
      <c r="I135" s="98"/>
      <c r="K135" s="109" t="s">
        <v>695</v>
      </c>
      <c r="L135" s="172" t="s">
        <v>696</v>
      </c>
      <c r="N135" s="172" t="s">
        <v>697</v>
      </c>
    </row>
    <row r="136" spans="2:14" ht="13.5" customHeight="1" x14ac:dyDescent="0.25">
      <c r="B136" s="96" t="s">
        <v>698</v>
      </c>
      <c r="C136" s="112" t="s">
        <v>699</v>
      </c>
      <c r="D136" s="107" t="s">
        <v>120</v>
      </c>
      <c r="E136" s="98">
        <v>61250</v>
      </c>
      <c r="F136" s="98"/>
      <c r="G136" s="98"/>
      <c r="H136" s="98"/>
      <c r="I136" s="98"/>
      <c r="K136" s="109" t="s">
        <v>1074</v>
      </c>
      <c r="L136" s="109"/>
      <c r="M136" s="109"/>
      <c r="N136" s="109"/>
    </row>
    <row r="137" spans="2:14" ht="13.5" customHeight="1" x14ac:dyDescent="0.25">
      <c r="B137" s="96" t="s">
        <v>700</v>
      </c>
      <c r="C137" s="112" t="s">
        <v>701</v>
      </c>
      <c r="D137" s="107" t="s">
        <v>120</v>
      </c>
      <c r="E137" s="98">
        <v>900</v>
      </c>
      <c r="F137" s="98"/>
      <c r="G137" s="98"/>
      <c r="H137" s="98"/>
      <c r="I137" s="98"/>
      <c r="K137" s="109"/>
      <c r="L137" s="109"/>
      <c r="M137" s="109"/>
      <c r="N137" s="109"/>
    </row>
    <row r="138" spans="2:14" ht="13.5" customHeight="1" x14ac:dyDescent="0.25">
      <c r="B138" s="96" t="s">
        <v>702</v>
      </c>
      <c r="C138" s="112" t="s">
        <v>703</v>
      </c>
      <c r="D138" s="107" t="s">
        <v>512</v>
      </c>
      <c r="E138" s="98">
        <f>162900/5</f>
        <v>32580</v>
      </c>
      <c r="F138" s="98"/>
      <c r="G138" s="98"/>
      <c r="H138" s="98"/>
      <c r="I138" s="98"/>
      <c r="K138" s="109"/>
      <c r="L138" s="109"/>
      <c r="M138" s="109"/>
      <c r="N138" s="109"/>
    </row>
    <row r="139" spans="2:14" ht="13.5" customHeight="1" x14ac:dyDescent="0.25">
      <c r="B139" s="96" t="s">
        <v>704</v>
      </c>
      <c r="C139" s="112" t="s">
        <v>705</v>
      </c>
      <c r="D139" s="107" t="s">
        <v>53</v>
      </c>
      <c r="E139" s="98">
        <f>254900/10</f>
        <v>25490</v>
      </c>
      <c r="F139" s="98"/>
      <c r="G139" s="98"/>
      <c r="H139" s="98"/>
      <c r="I139" s="98"/>
      <c r="K139" s="109"/>
      <c r="L139" s="109"/>
      <c r="M139" s="109"/>
      <c r="N139" s="109"/>
    </row>
    <row r="140" spans="2:14" ht="13.5" customHeight="1" x14ac:dyDescent="0.25">
      <c r="B140" s="96" t="s">
        <v>706</v>
      </c>
      <c r="C140" s="112" t="s">
        <v>707</v>
      </c>
      <c r="D140" s="107" t="s">
        <v>160</v>
      </c>
      <c r="E140" s="98">
        <f>156900/3</f>
        <v>52300</v>
      </c>
      <c r="F140" s="98"/>
      <c r="G140" s="98"/>
      <c r="H140" s="98"/>
      <c r="I140" s="98"/>
      <c r="K140" s="109"/>
      <c r="L140" s="109"/>
      <c r="M140" s="109"/>
      <c r="N140" s="109"/>
    </row>
    <row r="141" spans="2:14" ht="13.5" customHeight="1" x14ac:dyDescent="0.25">
      <c r="B141" s="96" t="s">
        <v>708</v>
      </c>
      <c r="C141" s="112" t="s">
        <v>709</v>
      </c>
      <c r="D141" s="107" t="s">
        <v>120</v>
      </c>
      <c r="E141" s="98">
        <v>236</v>
      </c>
      <c r="F141" s="98"/>
      <c r="G141" s="98"/>
      <c r="H141" s="98"/>
      <c r="I141" s="98"/>
      <c r="K141" s="109"/>
      <c r="L141" s="109"/>
      <c r="M141" s="109"/>
      <c r="N141" s="109"/>
    </row>
    <row r="142" spans="2:14" ht="13.5" customHeight="1" x14ac:dyDescent="0.25">
      <c r="B142" s="109" t="s">
        <v>710</v>
      </c>
      <c r="C142" s="112" t="s">
        <v>711</v>
      </c>
      <c r="D142" s="107" t="s">
        <v>136</v>
      </c>
      <c r="E142" s="98">
        <v>22800</v>
      </c>
      <c r="F142" s="98"/>
      <c r="G142" s="98"/>
      <c r="H142" s="98"/>
      <c r="I142" s="98"/>
      <c r="K142" s="109"/>
      <c r="L142" s="109"/>
      <c r="M142" s="109"/>
      <c r="N142" s="109"/>
    </row>
    <row r="143" spans="2:14" ht="13.5" customHeight="1" x14ac:dyDescent="0.25">
      <c r="B143" s="96" t="s">
        <v>712</v>
      </c>
      <c r="C143" s="112" t="s">
        <v>713</v>
      </c>
      <c r="D143" s="107" t="s">
        <v>120</v>
      </c>
      <c r="E143" s="98">
        <v>6900</v>
      </c>
      <c r="F143" s="98"/>
      <c r="G143" s="98"/>
      <c r="H143" s="98"/>
      <c r="I143" s="98"/>
      <c r="K143" s="109"/>
      <c r="L143" s="109"/>
      <c r="M143" s="109"/>
      <c r="N143" s="109"/>
    </row>
    <row r="144" spans="2:14" ht="13.5" customHeight="1" x14ac:dyDescent="0.25">
      <c r="B144" s="96" t="s">
        <v>714</v>
      </c>
      <c r="C144" s="112" t="s">
        <v>715</v>
      </c>
      <c r="D144" s="107" t="s">
        <v>512</v>
      </c>
      <c r="E144" s="98">
        <v>77900</v>
      </c>
      <c r="F144" s="98"/>
      <c r="G144" s="98"/>
      <c r="H144" s="98"/>
      <c r="I144" s="98"/>
      <c r="K144" s="109"/>
      <c r="L144" s="109"/>
      <c r="M144" s="109"/>
      <c r="N144" s="109"/>
    </row>
    <row r="145" spans="2:14" ht="13.5" customHeight="1" x14ac:dyDescent="0.25">
      <c r="B145" s="169" t="s">
        <v>716</v>
      </c>
      <c r="C145" s="112" t="s">
        <v>717</v>
      </c>
      <c r="D145" s="107" t="s">
        <v>120</v>
      </c>
      <c r="E145" s="98">
        <v>1061</v>
      </c>
      <c r="F145" s="98"/>
      <c r="G145" s="98"/>
      <c r="H145" s="98"/>
      <c r="I145" s="98"/>
      <c r="K145" s="109"/>
      <c r="L145" s="109"/>
      <c r="M145" s="109"/>
      <c r="N145" s="109"/>
    </row>
    <row r="146" spans="2:14" ht="13.5" customHeight="1" x14ac:dyDescent="0.25">
      <c r="B146" s="169" t="s">
        <v>718</v>
      </c>
      <c r="C146" s="112" t="s">
        <v>719</v>
      </c>
      <c r="D146" s="107" t="s">
        <v>136</v>
      </c>
      <c r="E146" s="98">
        <v>16700</v>
      </c>
      <c r="F146" s="98"/>
      <c r="G146" s="98"/>
      <c r="H146" s="98"/>
      <c r="I146" s="98"/>
      <c r="K146" s="109"/>
      <c r="L146" s="109"/>
      <c r="M146" s="109"/>
      <c r="N146" s="109"/>
    </row>
    <row r="147" spans="2:14" ht="13.5" customHeight="1" x14ac:dyDescent="0.25">
      <c r="B147" s="96" t="s">
        <v>718</v>
      </c>
      <c r="C147" s="112" t="s">
        <v>720</v>
      </c>
      <c r="D147" s="107" t="s">
        <v>136</v>
      </c>
      <c r="E147" s="98">
        <f>4500/3</f>
        <v>1500</v>
      </c>
      <c r="F147" s="98"/>
      <c r="G147" s="98"/>
      <c r="H147" s="98"/>
      <c r="I147" s="98"/>
      <c r="K147" s="109"/>
      <c r="L147" s="109"/>
      <c r="M147" s="109"/>
      <c r="N147" s="109"/>
    </row>
    <row r="148" spans="2:14" ht="12.75" customHeight="1" x14ac:dyDescent="0.25">
      <c r="B148" s="109" t="s">
        <v>721</v>
      </c>
      <c r="C148" s="112" t="s">
        <v>722</v>
      </c>
      <c r="D148" s="107" t="s">
        <v>120</v>
      </c>
      <c r="E148" s="98">
        <f>4200/5</f>
        <v>840</v>
      </c>
      <c r="F148" s="98"/>
      <c r="G148" s="98"/>
      <c r="H148" s="98"/>
      <c r="I148" s="98"/>
      <c r="K148" s="109"/>
      <c r="L148" s="109"/>
      <c r="M148" s="109"/>
      <c r="N148" s="109"/>
    </row>
    <row r="149" spans="2:14" ht="12.75" customHeight="1" x14ac:dyDescent="0.25">
      <c r="B149" s="109" t="s">
        <v>723</v>
      </c>
      <c r="C149" s="112" t="s">
        <v>724</v>
      </c>
      <c r="D149" s="107" t="s">
        <v>120</v>
      </c>
      <c r="E149" s="98">
        <v>13500</v>
      </c>
      <c r="F149" s="98"/>
      <c r="G149" s="98"/>
      <c r="H149" s="98"/>
      <c r="I149" s="98"/>
      <c r="K149" s="109"/>
      <c r="L149" s="109"/>
      <c r="M149" s="109"/>
      <c r="N149" s="109"/>
    </row>
    <row r="150" spans="2:14" ht="13.5" customHeight="1" x14ac:dyDescent="0.25">
      <c r="B150" s="109" t="s">
        <v>725</v>
      </c>
      <c r="C150" s="106" t="s">
        <v>726</v>
      </c>
      <c r="D150" s="107" t="s">
        <v>53</v>
      </c>
      <c r="E150" s="98">
        <v>1517</v>
      </c>
      <c r="F150" s="98"/>
      <c r="G150" s="98"/>
      <c r="H150" s="98"/>
      <c r="I150" s="98"/>
      <c r="K150" s="109"/>
      <c r="L150" s="109"/>
      <c r="M150" s="109"/>
      <c r="N150" s="109"/>
    </row>
    <row r="151" spans="2:14" ht="13.5" customHeight="1" x14ac:dyDescent="0.25">
      <c r="B151" s="96" t="s">
        <v>727</v>
      </c>
      <c r="C151" s="112" t="s">
        <v>728</v>
      </c>
      <c r="D151" s="107" t="s">
        <v>120</v>
      </c>
      <c r="E151" s="98">
        <v>22050</v>
      </c>
      <c r="F151" s="98"/>
      <c r="G151" s="98"/>
      <c r="H151" s="98"/>
      <c r="I151" s="98"/>
      <c r="K151" s="109"/>
      <c r="L151" s="109"/>
      <c r="M151" s="109"/>
      <c r="N151" s="109"/>
    </row>
    <row r="152" spans="2:14" ht="13.5" customHeight="1" x14ac:dyDescent="0.25">
      <c r="B152" s="109" t="s">
        <v>729</v>
      </c>
      <c r="C152" s="106" t="s">
        <v>730</v>
      </c>
      <c r="D152" s="107" t="s">
        <v>57</v>
      </c>
      <c r="E152" s="99">
        <v>306360</v>
      </c>
      <c r="F152" s="99"/>
      <c r="G152" s="99"/>
      <c r="H152" s="99"/>
      <c r="I152" s="99"/>
      <c r="K152" s="109"/>
      <c r="L152" s="109"/>
      <c r="M152" s="109"/>
      <c r="N152" s="109"/>
    </row>
    <row r="153" spans="2:14" ht="13.5" customHeight="1" x14ac:dyDescent="0.25">
      <c r="B153" s="109" t="s">
        <v>731</v>
      </c>
      <c r="C153" s="106" t="s">
        <v>732</v>
      </c>
      <c r="D153" s="107" t="s">
        <v>120</v>
      </c>
      <c r="E153" s="99">
        <v>16000</v>
      </c>
      <c r="F153" s="99"/>
      <c r="G153" s="99"/>
      <c r="H153" s="99"/>
      <c r="I153" s="99"/>
      <c r="K153" s="109"/>
      <c r="L153" s="109"/>
      <c r="M153" s="109"/>
      <c r="N153" s="109"/>
    </row>
    <row r="154" spans="2:14" ht="12.75" customHeight="1" x14ac:dyDescent="0.25">
      <c r="B154" s="109" t="s">
        <v>733</v>
      </c>
      <c r="C154" s="106" t="s">
        <v>734</v>
      </c>
      <c r="D154" s="107" t="s">
        <v>120</v>
      </c>
      <c r="E154" s="99">
        <v>3800</v>
      </c>
      <c r="F154" s="99"/>
      <c r="G154" s="99"/>
      <c r="H154" s="99"/>
      <c r="I154" s="99"/>
      <c r="K154" s="109"/>
      <c r="L154" s="109"/>
      <c r="M154" s="109"/>
      <c r="N154" s="109"/>
    </row>
    <row r="155" spans="2:14" ht="13.5" customHeight="1" x14ac:dyDescent="0.25">
      <c r="B155" s="109" t="s">
        <v>735</v>
      </c>
      <c r="C155" s="112" t="s">
        <v>736</v>
      </c>
      <c r="D155" s="107" t="s">
        <v>160</v>
      </c>
      <c r="E155" s="99">
        <v>5801.12</v>
      </c>
      <c r="F155" s="99"/>
      <c r="G155" s="99"/>
      <c r="H155" s="99"/>
      <c r="I155" s="99"/>
      <c r="K155" s="109"/>
      <c r="L155" s="109"/>
      <c r="M155" s="109"/>
      <c r="N155" s="109"/>
    </row>
    <row r="156" spans="2:14" ht="13.5" customHeight="1" x14ac:dyDescent="0.25">
      <c r="B156" s="109" t="s">
        <v>737</v>
      </c>
      <c r="C156" s="112" t="s">
        <v>738</v>
      </c>
      <c r="D156" s="107" t="s">
        <v>160</v>
      </c>
      <c r="E156" s="99">
        <v>5801.12</v>
      </c>
      <c r="F156" s="99"/>
      <c r="G156" s="99"/>
      <c r="H156" s="99"/>
      <c r="I156" s="99"/>
      <c r="K156" s="109"/>
      <c r="L156" s="109"/>
      <c r="M156" s="109"/>
      <c r="N156" s="109"/>
    </row>
    <row r="157" spans="2:14" ht="16.5" customHeight="1" x14ac:dyDescent="0.25">
      <c r="B157" s="109" t="s">
        <v>739</v>
      </c>
      <c r="C157" s="106" t="s">
        <v>740</v>
      </c>
      <c r="D157" s="107" t="s">
        <v>120</v>
      </c>
      <c r="E157" s="99">
        <v>1699</v>
      </c>
      <c r="F157" s="99"/>
      <c r="G157" s="99"/>
      <c r="H157" s="99"/>
      <c r="I157" s="99"/>
      <c r="K157" s="109"/>
      <c r="L157" s="109"/>
      <c r="M157" s="109"/>
      <c r="N157" s="109"/>
    </row>
    <row r="158" spans="2:14" ht="16.5" customHeight="1" x14ac:dyDescent="0.25">
      <c r="B158" s="96" t="s">
        <v>741</v>
      </c>
      <c r="C158" s="112" t="s">
        <v>742</v>
      </c>
      <c r="D158" s="107" t="s">
        <v>120</v>
      </c>
      <c r="E158" s="98">
        <v>21800</v>
      </c>
      <c r="F158" s="98"/>
      <c r="G158" s="98"/>
      <c r="H158" s="98"/>
      <c r="I158" s="98"/>
      <c r="K158" s="109"/>
      <c r="L158" s="109"/>
      <c r="M158" s="109"/>
      <c r="N158" s="109"/>
    </row>
    <row r="159" spans="2:14" ht="16.5" customHeight="1" x14ac:dyDescent="0.25">
      <c r="B159" s="96" t="s">
        <v>743</v>
      </c>
      <c r="C159" s="112" t="s">
        <v>744</v>
      </c>
      <c r="D159" s="107" t="s">
        <v>120</v>
      </c>
      <c r="E159" s="98">
        <v>1000</v>
      </c>
      <c r="F159" s="98"/>
      <c r="G159" s="98"/>
      <c r="H159" s="98"/>
      <c r="I159" s="98"/>
      <c r="K159" s="109"/>
      <c r="L159" s="109"/>
      <c r="M159" s="109"/>
      <c r="N159" s="109"/>
    </row>
    <row r="160" spans="2:14" ht="12.75" customHeight="1" x14ac:dyDescent="0.25">
      <c r="B160" s="96" t="s">
        <v>745</v>
      </c>
      <c r="C160" s="181" t="s">
        <v>746</v>
      </c>
      <c r="D160" s="107" t="s">
        <v>120</v>
      </c>
      <c r="E160" s="98">
        <v>91300</v>
      </c>
      <c r="F160" s="98"/>
      <c r="G160" s="98"/>
      <c r="H160" s="98"/>
      <c r="I160" s="98"/>
      <c r="K160" s="109"/>
      <c r="L160" s="109"/>
      <c r="M160" s="109"/>
      <c r="N160" s="109"/>
    </row>
    <row r="161" spans="2:14" ht="15.75" customHeight="1" x14ac:dyDescent="0.25">
      <c r="B161" s="96" t="s">
        <v>747</v>
      </c>
      <c r="C161" s="181" t="s">
        <v>748</v>
      </c>
      <c r="D161" s="107" t="s">
        <v>120</v>
      </c>
      <c r="E161" s="98">
        <v>124206</v>
      </c>
      <c r="F161" s="98"/>
      <c r="G161" s="98"/>
      <c r="H161" s="98"/>
      <c r="I161" s="98"/>
      <c r="K161" s="109"/>
      <c r="L161" s="109"/>
      <c r="M161" s="109"/>
      <c r="N161" s="109"/>
    </row>
    <row r="162" spans="2:14" ht="16.5" customHeight="1" x14ac:dyDescent="0.25">
      <c r="B162" s="96" t="s">
        <v>749</v>
      </c>
      <c r="C162" s="181" t="s">
        <v>750</v>
      </c>
      <c r="D162" s="107" t="s">
        <v>136</v>
      </c>
      <c r="E162" s="98">
        <v>13700</v>
      </c>
      <c r="F162" s="98"/>
      <c r="G162" s="98"/>
      <c r="H162" s="98"/>
      <c r="I162" s="98"/>
      <c r="K162" s="109"/>
      <c r="L162" s="109"/>
      <c r="M162" s="109"/>
      <c r="N162" s="109"/>
    </row>
    <row r="163" spans="2:14" ht="13.5" customHeight="1" x14ac:dyDescent="0.25">
      <c r="B163" s="109" t="s">
        <v>751</v>
      </c>
      <c r="C163" s="112" t="s">
        <v>752</v>
      </c>
      <c r="D163" s="107" t="s">
        <v>120</v>
      </c>
      <c r="E163" s="98">
        <v>379</v>
      </c>
      <c r="F163" s="98"/>
      <c r="G163" s="98"/>
      <c r="H163" s="98"/>
      <c r="I163" s="98"/>
      <c r="K163" s="109"/>
      <c r="L163" s="109"/>
      <c r="M163" s="109"/>
      <c r="N163" s="109"/>
    </row>
    <row r="164" spans="2:14" ht="13.5" customHeight="1" x14ac:dyDescent="0.25">
      <c r="B164" s="96" t="s">
        <v>753</v>
      </c>
      <c r="C164" s="181" t="s">
        <v>754</v>
      </c>
      <c r="D164" s="107" t="s">
        <v>120</v>
      </c>
      <c r="E164" s="98">
        <v>23598</v>
      </c>
      <c r="F164" s="98"/>
      <c r="G164" s="98"/>
      <c r="H164" s="98"/>
      <c r="I164" s="98"/>
      <c r="K164" s="109"/>
      <c r="L164" s="109"/>
      <c r="M164" s="109"/>
      <c r="N164" s="109"/>
    </row>
    <row r="165" spans="2:14" ht="13.5" customHeight="1" x14ac:dyDescent="0.25">
      <c r="B165" s="96" t="s">
        <v>755</v>
      </c>
      <c r="C165" s="181" t="s">
        <v>756</v>
      </c>
      <c r="D165" s="107" t="s">
        <v>120</v>
      </c>
      <c r="E165" s="98">
        <v>90671</v>
      </c>
      <c r="F165" s="98"/>
      <c r="G165" s="98"/>
      <c r="H165" s="98"/>
      <c r="I165" s="98"/>
      <c r="K165" s="109"/>
      <c r="L165" s="109"/>
      <c r="M165" s="109"/>
      <c r="N165" s="109"/>
    </row>
    <row r="166" spans="2:14" ht="13.5" customHeight="1" x14ac:dyDescent="0.25">
      <c r="B166" s="109" t="s">
        <v>757</v>
      </c>
      <c r="C166" s="106" t="s">
        <v>758</v>
      </c>
      <c r="D166" s="107" t="s">
        <v>120</v>
      </c>
      <c r="E166" s="99">
        <f>22000*1.3</f>
        <v>28600</v>
      </c>
      <c r="F166" s="99"/>
      <c r="G166" s="99"/>
      <c r="H166" s="99"/>
      <c r="I166" s="99"/>
      <c r="K166" s="109"/>
      <c r="L166" s="109"/>
      <c r="M166" s="109"/>
      <c r="N166" s="109"/>
    </row>
    <row r="167" spans="2:14" ht="13.5" customHeight="1" x14ac:dyDescent="0.25">
      <c r="B167" s="96" t="s">
        <v>759</v>
      </c>
      <c r="C167" s="112" t="s">
        <v>760</v>
      </c>
      <c r="D167" s="107" t="s">
        <v>120</v>
      </c>
      <c r="E167" s="98">
        <v>100000</v>
      </c>
      <c r="F167" s="98"/>
      <c r="G167" s="98"/>
      <c r="H167" s="98"/>
      <c r="I167" s="98"/>
      <c r="K167" s="109"/>
      <c r="L167" s="109"/>
      <c r="M167" s="109"/>
      <c r="N167" s="109"/>
    </row>
    <row r="168" spans="2:14" ht="15.75" customHeight="1" x14ac:dyDescent="0.25">
      <c r="B168" s="109" t="s">
        <v>761</v>
      </c>
      <c r="C168" s="163" t="s">
        <v>762</v>
      </c>
      <c r="D168" s="107" t="s">
        <v>512</v>
      </c>
      <c r="E168" s="99">
        <v>181900</v>
      </c>
      <c r="F168" s="99"/>
      <c r="G168" s="99"/>
      <c r="H168" s="99"/>
      <c r="I168" s="99"/>
      <c r="K168" s="109"/>
      <c r="L168" s="109"/>
      <c r="M168" s="109"/>
      <c r="N168" s="109"/>
    </row>
    <row r="169" spans="2:14" ht="15.75" customHeight="1" x14ac:dyDescent="0.25">
      <c r="B169" s="109" t="s">
        <v>763</v>
      </c>
      <c r="C169" s="163" t="s">
        <v>764</v>
      </c>
      <c r="D169" s="107" t="s">
        <v>120</v>
      </c>
      <c r="E169" s="99">
        <v>4500</v>
      </c>
      <c r="F169" s="99"/>
      <c r="G169" s="99"/>
      <c r="H169" s="99"/>
      <c r="I169" s="99"/>
      <c r="K169" s="109"/>
      <c r="L169" s="109"/>
      <c r="M169" s="109"/>
      <c r="N169" s="109"/>
    </row>
    <row r="170" spans="2:14" ht="13.5" customHeight="1" x14ac:dyDescent="0.25">
      <c r="B170" s="109" t="s">
        <v>765</v>
      </c>
      <c r="C170" s="163" t="s">
        <v>766</v>
      </c>
      <c r="D170" s="107" t="s">
        <v>120</v>
      </c>
      <c r="E170" s="99">
        <v>4450</v>
      </c>
      <c r="F170" s="99"/>
      <c r="G170" s="99"/>
      <c r="H170" s="99"/>
      <c r="I170" s="99"/>
      <c r="K170" s="109"/>
      <c r="L170" s="109"/>
      <c r="M170" s="109"/>
      <c r="N170" s="109"/>
    </row>
    <row r="171" spans="2:14" ht="13.5" customHeight="1" x14ac:dyDescent="0.25">
      <c r="B171" s="109" t="s">
        <v>767</v>
      </c>
      <c r="C171" s="163" t="s">
        <v>768</v>
      </c>
      <c r="D171" s="107" t="s">
        <v>120</v>
      </c>
      <c r="E171" s="99">
        <v>4550</v>
      </c>
      <c r="F171" s="99"/>
      <c r="G171" s="99"/>
      <c r="H171" s="99"/>
      <c r="I171" s="99"/>
      <c r="K171" s="109"/>
      <c r="L171" s="109"/>
      <c r="M171" s="109"/>
      <c r="N171" s="109"/>
    </row>
    <row r="172" spans="2:14" ht="13.5" customHeight="1" x14ac:dyDescent="0.25">
      <c r="B172" s="109" t="s">
        <v>769</v>
      </c>
      <c r="C172" s="163" t="s">
        <v>770</v>
      </c>
      <c r="D172" s="107" t="s">
        <v>160</v>
      </c>
      <c r="E172" s="99">
        <v>36828.57</v>
      </c>
      <c r="F172" s="99"/>
      <c r="G172" s="99"/>
      <c r="H172" s="99"/>
      <c r="I172" s="99"/>
      <c r="K172" s="109"/>
      <c r="L172" s="109"/>
      <c r="M172" s="109"/>
      <c r="N172" s="109"/>
    </row>
    <row r="173" spans="2:14" ht="17.25" customHeight="1" x14ac:dyDescent="0.25">
      <c r="B173" s="109" t="s">
        <v>771</v>
      </c>
      <c r="C173" s="163" t="s">
        <v>772</v>
      </c>
      <c r="D173" s="107" t="s">
        <v>120</v>
      </c>
      <c r="E173" s="99">
        <v>845000</v>
      </c>
      <c r="F173" s="99"/>
      <c r="G173" s="99"/>
      <c r="H173" s="99"/>
      <c r="I173" s="99"/>
      <c r="K173" s="109"/>
      <c r="L173" s="109"/>
      <c r="M173" s="109"/>
      <c r="N173" s="109"/>
    </row>
    <row r="174" spans="2:14" ht="13.5" customHeight="1" x14ac:dyDescent="0.25">
      <c r="B174" s="109" t="s">
        <v>773</v>
      </c>
      <c r="C174" s="163" t="s">
        <v>774</v>
      </c>
      <c r="D174" s="107" t="s">
        <v>120</v>
      </c>
      <c r="E174" s="99">
        <v>545000</v>
      </c>
      <c r="F174" s="99"/>
      <c r="G174" s="99"/>
      <c r="H174" s="99"/>
      <c r="I174" s="99"/>
      <c r="K174" s="109"/>
      <c r="L174" s="109"/>
      <c r="M174" s="109"/>
      <c r="N174" s="109"/>
    </row>
    <row r="175" spans="2:14" ht="13.5" customHeight="1" x14ac:dyDescent="0.25">
      <c r="B175" s="109" t="s">
        <v>775</v>
      </c>
      <c r="C175" s="163" t="s">
        <v>776</v>
      </c>
      <c r="D175" s="107" t="s">
        <v>120</v>
      </c>
      <c r="E175" s="99">
        <v>6000</v>
      </c>
      <c r="F175" s="99"/>
      <c r="G175" s="99"/>
      <c r="H175" s="99"/>
      <c r="I175" s="99"/>
      <c r="K175" s="109"/>
      <c r="L175" s="109"/>
      <c r="M175" s="109"/>
      <c r="N175" s="109"/>
    </row>
    <row r="176" spans="2:14" ht="13.5" customHeight="1" x14ac:dyDescent="0.25">
      <c r="B176" s="109" t="s">
        <v>777</v>
      </c>
      <c r="C176" s="163" t="s">
        <v>778</v>
      </c>
      <c r="D176" s="107" t="s">
        <v>120</v>
      </c>
      <c r="E176" s="99">
        <v>915000</v>
      </c>
      <c r="F176" s="99"/>
      <c r="G176" s="99"/>
      <c r="H176" s="99"/>
      <c r="I176" s="99"/>
      <c r="K176" s="109"/>
      <c r="L176" s="109"/>
      <c r="M176" s="109"/>
      <c r="N176" s="109"/>
    </row>
    <row r="177" spans="2:14" ht="13.5" customHeight="1" x14ac:dyDescent="0.25">
      <c r="B177" s="96" t="s">
        <v>779</v>
      </c>
      <c r="C177" s="181" t="s">
        <v>780</v>
      </c>
      <c r="D177" s="107" t="s">
        <v>120</v>
      </c>
      <c r="E177" s="98">
        <v>72350</v>
      </c>
      <c r="F177" s="98"/>
      <c r="G177" s="98"/>
      <c r="H177" s="98"/>
      <c r="I177" s="98"/>
      <c r="K177" s="109"/>
      <c r="L177" s="109"/>
      <c r="M177" s="109"/>
      <c r="N177" s="109"/>
    </row>
    <row r="178" spans="2:14" ht="13.5" customHeight="1" x14ac:dyDescent="0.25">
      <c r="B178" s="109" t="s">
        <v>781</v>
      </c>
      <c r="C178" s="182" t="s">
        <v>782</v>
      </c>
      <c r="D178" s="107" t="s">
        <v>53</v>
      </c>
      <c r="E178" s="99">
        <v>199920</v>
      </c>
      <c r="F178" s="99"/>
      <c r="G178" s="99"/>
      <c r="H178" s="99"/>
      <c r="I178" s="99"/>
      <c r="K178" s="109"/>
      <c r="L178" s="109"/>
      <c r="M178" s="109"/>
      <c r="N178" s="109"/>
    </row>
    <row r="179" spans="2:14" ht="13.5" customHeight="1" x14ac:dyDescent="0.25">
      <c r="B179" s="109" t="s">
        <v>783</v>
      </c>
      <c r="C179" s="182" t="s">
        <v>784</v>
      </c>
      <c r="D179" s="107" t="s">
        <v>136</v>
      </c>
      <c r="E179" s="99">
        <f>(255000/3)*1.2</f>
        <v>102000</v>
      </c>
      <c r="F179" s="99"/>
      <c r="G179" s="99"/>
      <c r="H179" s="99"/>
      <c r="I179" s="99"/>
      <c r="K179" s="109"/>
      <c r="L179" s="109"/>
      <c r="M179" s="109"/>
      <c r="N179" s="109"/>
    </row>
    <row r="180" spans="2:14" ht="13.5" customHeight="1" x14ac:dyDescent="0.25">
      <c r="B180" s="109" t="s">
        <v>785</v>
      </c>
      <c r="C180" s="182" t="s">
        <v>786</v>
      </c>
      <c r="D180" s="107" t="s">
        <v>120</v>
      </c>
      <c r="E180" s="99">
        <v>525000</v>
      </c>
      <c r="F180" s="99"/>
      <c r="G180" s="99"/>
      <c r="H180" s="99"/>
      <c r="I180" s="99"/>
      <c r="K180" s="109"/>
      <c r="L180" s="109"/>
      <c r="M180" s="109"/>
      <c r="N180" s="109"/>
    </row>
    <row r="181" spans="2:14" ht="13.5" customHeight="1" x14ac:dyDescent="0.25">
      <c r="B181" s="109" t="s">
        <v>787</v>
      </c>
      <c r="C181" s="182" t="s">
        <v>788</v>
      </c>
      <c r="D181" s="107" t="s">
        <v>120</v>
      </c>
      <c r="E181" s="99">
        <v>127500</v>
      </c>
      <c r="F181" s="99"/>
      <c r="G181" s="99"/>
      <c r="H181" s="99"/>
      <c r="I181" s="99"/>
      <c r="K181" s="109"/>
      <c r="L181" s="109"/>
      <c r="M181" s="109"/>
      <c r="N181" s="109"/>
    </row>
    <row r="182" spans="2:14" ht="13.5" customHeight="1" x14ac:dyDescent="0.25">
      <c r="B182" s="109" t="s">
        <v>789</v>
      </c>
      <c r="C182" s="182" t="s">
        <v>790</v>
      </c>
      <c r="D182" s="107" t="s">
        <v>53</v>
      </c>
      <c r="E182" s="99">
        <f>1454105/12</f>
        <v>121175.41666666667</v>
      </c>
      <c r="F182" s="99"/>
      <c r="G182" s="99"/>
      <c r="H182" s="99"/>
      <c r="I182" s="99"/>
      <c r="K182" s="109"/>
      <c r="L182" s="109"/>
      <c r="M182" s="109"/>
      <c r="N182" s="109"/>
    </row>
    <row r="183" spans="2:14" ht="13.5" customHeight="1" x14ac:dyDescent="0.25">
      <c r="B183" s="109" t="s">
        <v>791</v>
      </c>
      <c r="C183" s="182" t="s">
        <v>792</v>
      </c>
      <c r="D183" s="107" t="s">
        <v>120</v>
      </c>
      <c r="E183" s="99">
        <v>629</v>
      </c>
      <c r="F183" s="99"/>
      <c r="G183" s="99"/>
      <c r="H183" s="99"/>
      <c r="I183" s="99"/>
      <c r="K183" s="109"/>
      <c r="L183" s="109"/>
      <c r="M183" s="109"/>
      <c r="N183" s="109"/>
    </row>
    <row r="184" spans="2:14" ht="13.5" customHeight="1" x14ac:dyDescent="0.25">
      <c r="B184" s="109" t="s">
        <v>793</v>
      </c>
      <c r="C184" s="163" t="s">
        <v>794</v>
      </c>
      <c r="D184" s="107" t="s">
        <v>120</v>
      </c>
      <c r="E184" s="99">
        <v>31200</v>
      </c>
      <c r="F184" s="99"/>
      <c r="G184" s="99"/>
      <c r="H184" s="99"/>
      <c r="I184" s="99"/>
      <c r="K184" s="109"/>
      <c r="L184" s="109"/>
      <c r="M184" s="109"/>
      <c r="N184" s="109"/>
    </row>
    <row r="185" spans="2:14" ht="13.5" customHeight="1" x14ac:dyDescent="0.25">
      <c r="B185" s="109" t="s">
        <v>795</v>
      </c>
      <c r="C185" s="163" t="s">
        <v>796</v>
      </c>
      <c r="D185" s="107" t="s">
        <v>160</v>
      </c>
      <c r="E185" s="99">
        <v>19475</v>
      </c>
      <c r="F185" s="99"/>
      <c r="G185" s="99"/>
      <c r="H185" s="99"/>
      <c r="I185" s="99"/>
      <c r="K185" s="109"/>
      <c r="L185" s="109"/>
      <c r="M185" s="109"/>
      <c r="N185" s="109"/>
    </row>
    <row r="186" spans="2:14" ht="13.5" customHeight="1" x14ac:dyDescent="0.25">
      <c r="B186" s="109" t="s">
        <v>797</v>
      </c>
      <c r="C186" s="163" t="s">
        <v>798</v>
      </c>
      <c r="D186" s="107" t="s">
        <v>160</v>
      </c>
      <c r="E186" s="99">
        <f>105910/25</f>
        <v>4236.3999999999996</v>
      </c>
      <c r="F186" s="99"/>
      <c r="G186" s="99"/>
      <c r="H186" s="99"/>
      <c r="I186" s="99"/>
      <c r="K186" s="109"/>
      <c r="L186" s="109"/>
      <c r="M186" s="109"/>
      <c r="N186" s="109"/>
    </row>
    <row r="187" spans="2:14" ht="13.5" customHeight="1" x14ac:dyDescent="0.25">
      <c r="B187" s="109" t="s">
        <v>799</v>
      </c>
      <c r="C187" s="163" t="s">
        <v>800</v>
      </c>
      <c r="D187" s="107" t="s">
        <v>120</v>
      </c>
      <c r="E187" s="99">
        <v>675000</v>
      </c>
      <c r="F187" s="99"/>
      <c r="G187" s="99"/>
      <c r="H187" s="99"/>
      <c r="I187" s="99"/>
      <c r="K187" s="109"/>
      <c r="L187" s="109"/>
      <c r="M187" s="109"/>
      <c r="N187" s="109"/>
    </row>
    <row r="188" spans="2:14" ht="13.5" customHeight="1" x14ac:dyDescent="0.25">
      <c r="B188" s="109" t="s">
        <v>801</v>
      </c>
      <c r="C188" s="163" t="s">
        <v>802</v>
      </c>
      <c r="D188" s="107" t="s">
        <v>120</v>
      </c>
      <c r="E188" s="99">
        <v>255000</v>
      </c>
      <c r="F188" s="99"/>
      <c r="G188" s="99"/>
      <c r="H188" s="99"/>
      <c r="I188" s="99"/>
      <c r="K188" s="109"/>
      <c r="L188" s="109"/>
      <c r="M188" s="109"/>
      <c r="N188" s="109"/>
    </row>
    <row r="189" spans="2:14" ht="13.5" customHeight="1" x14ac:dyDescent="0.25">
      <c r="B189" s="109" t="s">
        <v>803</v>
      </c>
      <c r="C189" s="163" t="s">
        <v>804</v>
      </c>
      <c r="D189" s="107" t="s">
        <v>120</v>
      </c>
      <c r="E189" s="99">
        <v>915000</v>
      </c>
      <c r="F189" s="99"/>
      <c r="G189" s="99"/>
      <c r="H189" s="99"/>
      <c r="I189" s="99"/>
      <c r="K189" s="109"/>
      <c r="L189" s="109"/>
      <c r="M189" s="109"/>
      <c r="N189" s="109"/>
    </row>
    <row r="190" spans="2:14" ht="13.5" customHeight="1" x14ac:dyDescent="0.25">
      <c r="B190" s="109" t="s">
        <v>805</v>
      </c>
      <c r="C190" s="163" t="s">
        <v>806</v>
      </c>
      <c r="D190" s="107" t="s">
        <v>120</v>
      </c>
      <c r="E190" s="99">
        <v>525000</v>
      </c>
      <c r="F190" s="99"/>
      <c r="G190" s="99"/>
      <c r="H190" s="99"/>
      <c r="I190" s="99"/>
      <c r="K190" s="109"/>
      <c r="L190" s="109"/>
      <c r="M190" s="109"/>
      <c r="N190" s="109"/>
    </row>
    <row r="191" spans="2:14" ht="13.5" customHeight="1" x14ac:dyDescent="0.25">
      <c r="B191" s="109" t="s">
        <v>807</v>
      </c>
      <c r="C191" s="163" t="s">
        <v>808</v>
      </c>
      <c r="D191" s="107" t="s">
        <v>120</v>
      </c>
      <c r="E191" s="99">
        <v>415000</v>
      </c>
      <c r="F191" s="99"/>
      <c r="G191" s="99"/>
      <c r="H191" s="99"/>
      <c r="I191" s="99"/>
      <c r="K191" s="109"/>
      <c r="L191" s="109"/>
      <c r="M191" s="109"/>
      <c r="N191" s="109"/>
    </row>
    <row r="192" spans="2:14" ht="13.5" customHeight="1" x14ac:dyDescent="0.25">
      <c r="B192" s="109" t="s">
        <v>809</v>
      </c>
      <c r="C192" s="163" t="s">
        <v>810</v>
      </c>
      <c r="D192" s="107" t="s">
        <v>120</v>
      </c>
      <c r="E192" s="99">
        <v>215000</v>
      </c>
      <c r="F192" s="99"/>
      <c r="G192" s="99"/>
      <c r="H192" s="99"/>
      <c r="I192" s="99"/>
      <c r="K192" s="109"/>
      <c r="L192" s="109"/>
      <c r="M192" s="109"/>
      <c r="N192" s="109"/>
    </row>
    <row r="193" spans="2:14" ht="13.5" customHeight="1" x14ac:dyDescent="0.25">
      <c r="B193" s="109" t="s">
        <v>811</v>
      </c>
      <c r="C193" s="163" t="s">
        <v>812</v>
      </c>
      <c r="D193" s="107" t="s">
        <v>120</v>
      </c>
      <c r="E193" s="99">
        <v>107500</v>
      </c>
      <c r="F193" s="99"/>
      <c r="G193" s="99"/>
      <c r="H193" s="99"/>
      <c r="I193" s="99"/>
      <c r="K193" s="109"/>
      <c r="L193" s="109"/>
      <c r="M193" s="109"/>
      <c r="N193" s="109"/>
    </row>
    <row r="194" spans="2:14" ht="13.5" customHeight="1" x14ac:dyDescent="0.25">
      <c r="B194" s="109" t="s">
        <v>813</v>
      </c>
      <c r="C194" s="163" t="s">
        <v>814</v>
      </c>
      <c r="D194" s="107" t="s">
        <v>120</v>
      </c>
      <c r="E194" s="99">
        <v>215000</v>
      </c>
      <c r="F194" s="99"/>
      <c r="G194" s="99"/>
      <c r="H194" s="99"/>
      <c r="I194" s="99"/>
      <c r="K194" s="109"/>
      <c r="L194" s="109"/>
      <c r="M194" s="109"/>
      <c r="N194" s="109"/>
    </row>
    <row r="195" spans="2:14" ht="13.5" customHeight="1" x14ac:dyDescent="0.25">
      <c r="B195" s="109" t="s">
        <v>815</v>
      </c>
      <c r="C195" s="163" t="s">
        <v>816</v>
      </c>
      <c r="D195" s="107" t="s">
        <v>120</v>
      </c>
      <c r="E195" s="99">
        <v>74000</v>
      </c>
      <c r="F195" s="99"/>
      <c r="G195" s="99"/>
      <c r="H195" s="99"/>
      <c r="I195" s="99"/>
      <c r="K195" s="109"/>
      <c r="L195" s="109"/>
      <c r="M195" s="109"/>
      <c r="N195" s="109"/>
    </row>
    <row r="196" spans="2:14" ht="13.5" customHeight="1" x14ac:dyDescent="0.25">
      <c r="B196" s="109" t="s">
        <v>817</v>
      </c>
      <c r="C196" s="163" t="s">
        <v>818</v>
      </c>
      <c r="D196" s="107" t="s">
        <v>120</v>
      </c>
      <c r="E196" s="99">
        <v>25000</v>
      </c>
      <c r="F196" s="99"/>
      <c r="G196" s="99"/>
      <c r="H196" s="99"/>
      <c r="I196" s="99"/>
      <c r="K196" s="109"/>
      <c r="L196" s="109"/>
      <c r="M196" s="109"/>
      <c r="N196" s="109"/>
    </row>
    <row r="197" spans="2:14" ht="13.5" customHeight="1" x14ac:dyDescent="0.25">
      <c r="B197" s="96" t="s">
        <v>819</v>
      </c>
      <c r="C197" s="181" t="s">
        <v>820</v>
      </c>
      <c r="D197" s="107" t="s">
        <v>120</v>
      </c>
      <c r="E197" s="98">
        <v>53905</v>
      </c>
      <c r="F197" s="98"/>
      <c r="G197" s="98"/>
      <c r="H197" s="98"/>
      <c r="I197" s="98"/>
      <c r="K197" s="109"/>
      <c r="L197" s="109"/>
      <c r="M197" s="109"/>
      <c r="N197" s="109"/>
    </row>
    <row r="198" spans="2:14" ht="13.5" customHeight="1" x14ac:dyDescent="0.25">
      <c r="B198" s="109" t="s">
        <v>821</v>
      </c>
      <c r="C198" s="163" t="s">
        <v>822</v>
      </c>
      <c r="D198" s="107" t="s">
        <v>120</v>
      </c>
      <c r="E198" s="99">
        <v>135000</v>
      </c>
      <c r="F198" s="99"/>
      <c r="G198" s="99"/>
      <c r="H198" s="99"/>
      <c r="I198" s="99"/>
      <c r="K198" s="109"/>
      <c r="L198" s="109"/>
      <c r="M198" s="109"/>
      <c r="N198" s="109"/>
    </row>
    <row r="199" spans="2:14" ht="13.5" customHeight="1" x14ac:dyDescent="0.25">
      <c r="B199" s="109" t="s">
        <v>823</v>
      </c>
      <c r="C199" s="163" t="s">
        <v>824</v>
      </c>
      <c r="D199" s="107" t="s">
        <v>120</v>
      </c>
      <c r="E199" s="99">
        <v>215000</v>
      </c>
      <c r="F199" s="99"/>
      <c r="G199" s="99"/>
      <c r="H199" s="99"/>
      <c r="I199" s="99"/>
      <c r="K199" s="109"/>
      <c r="L199" s="109"/>
      <c r="M199" s="109"/>
      <c r="N199" s="109"/>
    </row>
    <row r="200" spans="2:14" ht="13.5" customHeight="1" x14ac:dyDescent="0.25">
      <c r="B200" s="109" t="s">
        <v>825</v>
      </c>
      <c r="C200" s="163" t="s">
        <v>826</v>
      </c>
      <c r="D200" s="107" t="s">
        <v>53</v>
      </c>
      <c r="E200" s="183">
        <f>250000/(1.22*2.44)</f>
        <v>83982.80032249396</v>
      </c>
      <c r="F200" s="183"/>
      <c r="G200" s="183"/>
      <c r="H200" s="183"/>
      <c r="I200" s="183"/>
      <c r="K200" s="109"/>
      <c r="L200" s="109"/>
      <c r="M200" s="109"/>
      <c r="N200" s="109"/>
    </row>
    <row r="201" spans="2:14" ht="13.5" customHeight="1" x14ac:dyDescent="0.25">
      <c r="B201" s="109" t="s">
        <v>827</v>
      </c>
      <c r="C201" s="163" t="s">
        <v>828</v>
      </c>
      <c r="D201" s="107" t="s">
        <v>136</v>
      </c>
      <c r="E201" s="99">
        <f>19500/3</f>
        <v>6500</v>
      </c>
      <c r="F201" s="99"/>
      <c r="G201" s="99"/>
      <c r="H201" s="99"/>
      <c r="I201" s="99"/>
      <c r="K201" s="109"/>
      <c r="L201" s="109"/>
      <c r="M201" s="109"/>
      <c r="N201" s="109"/>
    </row>
    <row r="202" spans="2:14" ht="13.5" customHeight="1" x14ac:dyDescent="0.25">
      <c r="B202" s="109" t="s">
        <v>829</v>
      </c>
      <c r="C202" s="163" t="s">
        <v>830</v>
      </c>
      <c r="D202" s="107" t="s">
        <v>53</v>
      </c>
      <c r="E202" s="99">
        <v>199920</v>
      </c>
      <c r="F202" s="99"/>
      <c r="G202" s="99"/>
      <c r="H202" s="99"/>
      <c r="I202" s="99"/>
      <c r="K202" s="109"/>
      <c r="L202" s="109"/>
      <c r="M202" s="109"/>
      <c r="N202" s="109"/>
    </row>
    <row r="203" spans="2:14" ht="13.5" customHeight="1" x14ac:dyDescent="0.25">
      <c r="B203" s="109" t="s">
        <v>831</v>
      </c>
      <c r="C203" s="163" t="s">
        <v>832</v>
      </c>
      <c r="D203" s="107" t="s">
        <v>120</v>
      </c>
      <c r="E203" s="99">
        <v>37000</v>
      </c>
      <c r="F203" s="99"/>
      <c r="G203" s="99"/>
      <c r="H203" s="99"/>
      <c r="I203" s="99"/>
      <c r="K203" s="109"/>
      <c r="L203" s="109"/>
      <c r="M203" s="109"/>
      <c r="N203" s="109"/>
    </row>
    <row r="204" spans="2:14" ht="13.5" customHeight="1" x14ac:dyDescent="0.25">
      <c r="B204" s="109" t="s">
        <v>833</v>
      </c>
      <c r="C204" s="184" t="s">
        <v>834</v>
      </c>
      <c r="D204" s="107" t="s">
        <v>835</v>
      </c>
      <c r="E204" s="99">
        <v>160000</v>
      </c>
      <c r="F204" s="99"/>
      <c r="G204" s="99"/>
      <c r="H204" s="99"/>
      <c r="I204" s="99"/>
      <c r="K204" s="109"/>
      <c r="L204" s="109"/>
      <c r="M204" s="109"/>
      <c r="N204" s="109"/>
    </row>
    <row r="205" spans="2:14" ht="13.5" customHeight="1" x14ac:dyDescent="0.25">
      <c r="B205" s="108" t="s">
        <v>836</v>
      </c>
      <c r="C205" s="185" t="s">
        <v>837</v>
      </c>
      <c r="D205" s="147" t="s">
        <v>835</v>
      </c>
      <c r="E205" s="99">
        <f>451900/5</f>
        <v>90380</v>
      </c>
      <c r="F205" s="99"/>
      <c r="G205" s="99"/>
      <c r="H205" s="99"/>
      <c r="I205" s="99"/>
      <c r="K205" s="109"/>
      <c r="L205" s="109"/>
      <c r="M205" s="109"/>
      <c r="N205" s="109"/>
    </row>
    <row r="206" spans="2:14" ht="13.5" customHeight="1" x14ac:dyDescent="0.25">
      <c r="B206" s="108" t="s">
        <v>838</v>
      </c>
      <c r="C206" s="186" t="s">
        <v>839</v>
      </c>
      <c r="D206" s="147" t="s">
        <v>120</v>
      </c>
      <c r="E206" s="99">
        <v>4000</v>
      </c>
      <c r="F206" s="99"/>
      <c r="G206" s="99"/>
      <c r="H206" s="99"/>
      <c r="I206" s="99"/>
      <c r="K206" s="109"/>
      <c r="L206" s="109"/>
      <c r="M206" s="109"/>
      <c r="N206" s="109"/>
    </row>
    <row r="207" spans="2:14" ht="13.5" customHeight="1" x14ac:dyDescent="0.25">
      <c r="B207" s="108" t="s">
        <v>840</v>
      </c>
      <c r="C207" s="187" t="s">
        <v>841</v>
      </c>
      <c r="D207" s="147" t="s">
        <v>120</v>
      </c>
      <c r="E207" s="99">
        <v>4500</v>
      </c>
      <c r="F207" s="99"/>
      <c r="G207" s="99"/>
      <c r="H207" s="99"/>
      <c r="I207" s="99"/>
      <c r="K207" s="109"/>
      <c r="L207" s="109"/>
      <c r="M207" s="109"/>
      <c r="N207" s="109"/>
    </row>
    <row r="208" spans="2:14" ht="13.5" customHeight="1" x14ac:dyDescent="0.25">
      <c r="B208" s="188" t="s">
        <v>842</v>
      </c>
      <c r="C208" s="189" t="s">
        <v>843</v>
      </c>
      <c r="D208" s="147" t="s">
        <v>120</v>
      </c>
      <c r="E208" s="98">
        <v>5250</v>
      </c>
      <c r="F208" s="98"/>
      <c r="G208" s="98"/>
      <c r="H208" s="98"/>
      <c r="I208" s="98"/>
      <c r="K208" s="109"/>
      <c r="L208" s="109"/>
      <c r="M208" s="109"/>
      <c r="N208" s="109"/>
    </row>
    <row r="209" spans="2:14" ht="13.5" customHeight="1" x14ac:dyDescent="0.25">
      <c r="B209" s="108" t="s">
        <v>844</v>
      </c>
      <c r="C209" s="187" t="s">
        <v>845</v>
      </c>
      <c r="D209" s="147" t="s">
        <v>120</v>
      </c>
      <c r="E209" s="99">
        <v>30000</v>
      </c>
      <c r="F209" s="99"/>
      <c r="G209" s="99"/>
      <c r="H209" s="99"/>
      <c r="I209" s="99"/>
      <c r="K209" s="109"/>
      <c r="L209" s="109"/>
      <c r="M209" s="109"/>
      <c r="N209" s="109"/>
    </row>
    <row r="210" spans="2:14" ht="13.5" customHeight="1" x14ac:dyDescent="0.25">
      <c r="B210" s="108" t="s">
        <v>846</v>
      </c>
      <c r="C210" s="187" t="s">
        <v>847</v>
      </c>
      <c r="D210" s="147" t="s">
        <v>120</v>
      </c>
      <c r="E210" s="99">
        <v>7600</v>
      </c>
      <c r="F210" s="99"/>
      <c r="G210" s="99"/>
      <c r="H210" s="99"/>
      <c r="I210" s="99"/>
      <c r="K210" s="109"/>
      <c r="L210" s="109"/>
      <c r="M210" s="109"/>
      <c r="N210" s="109"/>
    </row>
    <row r="211" spans="2:14" ht="13.5" customHeight="1" x14ac:dyDescent="0.25">
      <c r="B211" s="109" t="s">
        <v>848</v>
      </c>
      <c r="C211" s="190" t="s">
        <v>849</v>
      </c>
      <c r="D211" s="107" t="s">
        <v>136</v>
      </c>
      <c r="E211" s="183">
        <f>99950/3</f>
        <v>33316.666666666664</v>
      </c>
      <c r="F211" s="183"/>
      <c r="G211" s="183"/>
      <c r="H211" s="183"/>
      <c r="I211" s="183"/>
      <c r="K211" s="109"/>
      <c r="L211" s="109"/>
      <c r="M211" s="109"/>
      <c r="N211" s="109"/>
    </row>
    <row r="212" spans="2:14" ht="13.5" customHeight="1" x14ac:dyDescent="0.25">
      <c r="B212" s="109" t="s">
        <v>850</v>
      </c>
      <c r="C212" s="163" t="s">
        <v>851</v>
      </c>
      <c r="D212" s="107" t="s">
        <v>120</v>
      </c>
      <c r="E212" s="99">
        <v>1978</v>
      </c>
      <c r="F212" s="99"/>
      <c r="G212" s="99"/>
      <c r="H212" s="99"/>
      <c r="I212" s="99"/>
      <c r="K212" s="109"/>
      <c r="L212" s="109"/>
      <c r="M212" s="109"/>
      <c r="N212" s="109"/>
    </row>
    <row r="213" spans="2:14" ht="13.5" customHeight="1" x14ac:dyDescent="0.25">
      <c r="B213" s="109" t="s">
        <v>852</v>
      </c>
      <c r="C213" s="163" t="s">
        <v>853</v>
      </c>
      <c r="D213" s="107" t="s">
        <v>512</v>
      </c>
      <c r="E213" s="99">
        <v>193000</v>
      </c>
      <c r="F213" s="99"/>
      <c r="G213" s="99"/>
      <c r="H213" s="99"/>
      <c r="I213" s="99"/>
      <c r="K213" s="109"/>
      <c r="L213" s="109"/>
      <c r="M213" s="109"/>
      <c r="N213" s="109"/>
    </row>
    <row r="214" spans="2:14" ht="13.5" customHeight="1" x14ac:dyDescent="0.25">
      <c r="B214" s="109" t="s">
        <v>854</v>
      </c>
      <c r="C214" s="163" t="s">
        <v>855</v>
      </c>
      <c r="D214" s="107" t="s">
        <v>53</v>
      </c>
      <c r="E214" s="99">
        <f>94200/(2.44*1.22)</f>
        <v>31644.719161515724</v>
      </c>
      <c r="F214" s="99"/>
      <c r="G214" s="99"/>
      <c r="H214" s="99"/>
      <c r="I214" s="99"/>
      <c r="K214" s="109"/>
      <c r="L214" s="109"/>
      <c r="M214" s="109"/>
      <c r="N214" s="109"/>
    </row>
    <row r="215" spans="2:14" ht="13.5" customHeight="1" x14ac:dyDescent="0.25">
      <c r="B215" s="96" t="s">
        <v>856</v>
      </c>
      <c r="C215" s="112" t="s">
        <v>857</v>
      </c>
      <c r="D215" s="107" t="s">
        <v>120</v>
      </c>
      <c r="E215" s="98">
        <v>7200</v>
      </c>
      <c r="F215" s="98"/>
      <c r="G215" s="98"/>
      <c r="H215" s="98"/>
      <c r="I215" s="98"/>
      <c r="K215" s="109"/>
      <c r="L215" s="109"/>
      <c r="M215" s="109"/>
      <c r="N215" s="109"/>
    </row>
    <row r="216" spans="2:14" ht="13.5" customHeight="1" x14ac:dyDescent="0.25">
      <c r="B216" s="96" t="s">
        <v>858</v>
      </c>
      <c r="C216" s="112" t="s">
        <v>859</v>
      </c>
      <c r="D216" s="107" t="s">
        <v>120</v>
      </c>
      <c r="E216" s="98">
        <v>5600</v>
      </c>
      <c r="F216" s="98"/>
      <c r="G216" s="98"/>
      <c r="H216" s="98"/>
      <c r="I216" s="98"/>
      <c r="K216" s="109"/>
      <c r="L216" s="109"/>
      <c r="M216" s="109"/>
      <c r="N216" s="109"/>
    </row>
    <row r="217" spans="2:14" ht="13.5" customHeight="1" x14ac:dyDescent="0.25">
      <c r="B217" s="96" t="s">
        <v>860</v>
      </c>
      <c r="C217" s="112" t="s">
        <v>861</v>
      </c>
      <c r="D217" s="107" t="s">
        <v>120</v>
      </c>
      <c r="E217" s="98">
        <v>20950</v>
      </c>
      <c r="F217" s="98"/>
      <c r="G217" s="98"/>
      <c r="H217" s="98"/>
      <c r="I217" s="98"/>
      <c r="K217" s="109"/>
      <c r="L217" s="109"/>
      <c r="M217" s="109"/>
      <c r="N217" s="109"/>
    </row>
    <row r="218" spans="2:14" ht="13.5" customHeight="1" x14ac:dyDescent="0.25">
      <c r="B218" s="96" t="s">
        <v>862</v>
      </c>
      <c r="C218" s="112" t="s">
        <v>863</v>
      </c>
      <c r="D218" s="107" t="s">
        <v>120</v>
      </c>
      <c r="E218" s="98">
        <v>35225</v>
      </c>
      <c r="F218" s="98"/>
      <c r="G218" s="98"/>
      <c r="H218" s="98"/>
      <c r="I218" s="98"/>
      <c r="K218" s="109"/>
      <c r="L218" s="109"/>
      <c r="M218" s="109"/>
      <c r="N218" s="109"/>
    </row>
    <row r="219" spans="2:14" ht="13.5" customHeight="1" x14ac:dyDescent="0.25">
      <c r="B219" s="96" t="s">
        <v>864</v>
      </c>
      <c r="C219" s="112" t="s">
        <v>865</v>
      </c>
      <c r="D219" s="107" t="s">
        <v>120</v>
      </c>
      <c r="E219" s="98">
        <v>32950</v>
      </c>
      <c r="F219" s="98"/>
      <c r="G219" s="98"/>
      <c r="H219" s="98"/>
      <c r="I219" s="98"/>
      <c r="K219" s="109"/>
      <c r="L219" s="109"/>
      <c r="M219" s="109"/>
      <c r="N219" s="109"/>
    </row>
    <row r="220" spans="2:14" ht="16.5" customHeight="1" x14ac:dyDescent="0.25">
      <c r="B220" s="109" t="s">
        <v>866</v>
      </c>
      <c r="C220" s="106" t="s">
        <v>867</v>
      </c>
      <c r="D220" s="107" t="s">
        <v>120</v>
      </c>
      <c r="E220" s="98">
        <v>1600</v>
      </c>
      <c r="F220" s="98"/>
      <c r="G220" s="98"/>
      <c r="H220" s="98"/>
      <c r="I220" s="98"/>
      <c r="K220" s="109"/>
      <c r="L220" s="109"/>
      <c r="M220" s="109"/>
      <c r="N220" s="109"/>
    </row>
    <row r="221" spans="2:14" ht="12.75" customHeight="1" x14ac:dyDescent="0.25">
      <c r="B221" s="109" t="s">
        <v>868</v>
      </c>
      <c r="C221" s="163" t="s">
        <v>869</v>
      </c>
      <c r="D221" s="107" t="s">
        <v>136</v>
      </c>
      <c r="E221" s="99">
        <f>199920*0.16</f>
        <v>31987.200000000001</v>
      </c>
      <c r="F221" s="99"/>
      <c r="G221" s="99"/>
      <c r="H221" s="99"/>
      <c r="I221" s="99"/>
      <c r="K221" s="109"/>
      <c r="L221" s="109"/>
      <c r="M221" s="109"/>
      <c r="N221" s="109"/>
    </row>
    <row r="222" spans="2:14" ht="13.5" customHeight="1" x14ac:dyDescent="0.25">
      <c r="B222" s="109" t="s">
        <v>870</v>
      </c>
      <c r="C222" s="180" t="s">
        <v>871</v>
      </c>
      <c r="D222" s="107" t="s">
        <v>120</v>
      </c>
      <c r="E222" s="99">
        <v>4450</v>
      </c>
      <c r="F222" s="99"/>
      <c r="G222" s="99"/>
      <c r="H222" s="99"/>
      <c r="I222" s="99"/>
      <c r="K222" s="109"/>
      <c r="L222" s="109"/>
      <c r="M222" s="109"/>
      <c r="N222" s="109"/>
    </row>
    <row r="223" spans="2:14" ht="13.5" customHeight="1" x14ac:dyDescent="0.25">
      <c r="B223" s="109" t="s">
        <v>872</v>
      </c>
      <c r="C223" s="191" t="s">
        <v>873</v>
      </c>
      <c r="D223" s="107" t="s">
        <v>120</v>
      </c>
      <c r="E223" s="99">
        <v>4450</v>
      </c>
      <c r="F223" s="99"/>
      <c r="G223" s="99"/>
      <c r="H223" s="99"/>
      <c r="I223" s="99"/>
      <c r="K223" s="109"/>
      <c r="L223" s="109"/>
      <c r="M223" s="109"/>
      <c r="N223" s="109"/>
    </row>
    <row r="224" spans="2:14" ht="13.5" customHeight="1" x14ac:dyDescent="0.25">
      <c r="B224" s="192" t="s">
        <v>874</v>
      </c>
      <c r="C224" s="193" t="s">
        <v>875</v>
      </c>
      <c r="D224" s="147" t="s">
        <v>120</v>
      </c>
      <c r="E224" s="99">
        <v>4641</v>
      </c>
      <c r="F224" s="99"/>
      <c r="G224" s="99"/>
      <c r="H224" s="99"/>
      <c r="I224" s="99"/>
      <c r="K224" s="109"/>
      <c r="L224" s="109"/>
      <c r="M224" s="109"/>
      <c r="N224" s="109"/>
    </row>
    <row r="225" spans="2:14" ht="13.5" customHeight="1" x14ac:dyDescent="0.25">
      <c r="B225" s="194" t="s">
        <v>876</v>
      </c>
      <c r="C225" s="189" t="s">
        <v>877</v>
      </c>
      <c r="D225" s="147" t="s">
        <v>120</v>
      </c>
      <c r="E225" s="98">
        <v>32550</v>
      </c>
      <c r="F225" s="98"/>
      <c r="G225" s="98"/>
      <c r="H225" s="98"/>
      <c r="I225" s="98"/>
      <c r="K225" s="159"/>
      <c r="L225" s="159"/>
      <c r="M225" s="159"/>
      <c r="N225" s="159"/>
    </row>
    <row r="226" spans="2:14" ht="13.5" customHeight="1" x14ac:dyDescent="0.25">
      <c r="B226" s="192" t="s">
        <v>878</v>
      </c>
      <c r="C226" s="193" t="s">
        <v>879</v>
      </c>
      <c r="D226" s="147" t="s">
        <v>136</v>
      </c>
      <c r="E226" s="183">
        <f>115300/6</f>
        <v>19216.666666666668</v>
      </c>
      <c r="F226" s="183"/>
      <c r="G226" s="183"/>
      <c r="H226" s="183"/>
      <c r="I226" s="183"/>
      <c r="K226" s="159"/>
      <c r="L226" s="159"/>
      <c r="M226" s="159"/>
      <c r="N226" s="159"/>
    </row>
    <row r="227" spans="2:14" ht="13.5" customHeight="1" x14ac:dyDescent="0.25">
      <c r="B227" s="159" t="s">
        <v>880</v>
      </c>
      <c r="C227" s="195" t="s">
        <v>881</v>
      </c>
      <c r="D227" s="147" t="s">
        <v>512</v>
      </c>
      <c r="E227" s="99">
        <v>84900</v>
      </c>
      <c r="F227" s="99"/>
      <c r="G227" s="99"/>
      <c r="H227" s="99"/>
      <c r="I227" s="99"/>
      <c r="K227" s="159"/>
      <c r="L227" s="159"/>
      <c r="M227" s="159"/>
      <c r="N227" s="159"/>
    </row>
    <row r="228" spans="2:14" ht="13.5" customHeight="1" x14ac:dyDescent="0.25">
      <c r="B228" s="159" t="s">
        <v>882</v>
      </c>
      <c r="C228" s="196" t="s">
        <v>883</v>
      </c>
      <c r="D228" s="147" t="s">
        <v>884</v>
      </c>
      <c r="E228" s="99">
        <f>32549/250</f>
        <v>130.196</v>
      </c>
      <c r="F228" s="99"/>
      <c r="G228" s="99"/>
      <c r="H228" s="99"/>
      <c r="I228" s="99"/>
      <c r="K228" s="159"/>
      <c r="L228" s="159"/>
      <c r="M228" s="159"/>
      <c r="N228" s="159"/>
    </row>
    <row r="229" spans="2:14" ht="13.5" customHeight="1" x14ac:dyDescent="0.25">
      <c r="B229" s="159" t="s">
        <v>885</v>
      </c>
      <c r="C229" s="106" t="s">
        <v>886</v>
      </c>
      <c r="D229" s="147" t="s">
        <v>120</v>
      </c>
      <c r="E229" s="99">
        <v>29900</v>
      </c>
      <c r="F229" s="99"/>
      <c r="G229" s="99"/>
      <c r="H229" s="99"/>
      <c r="I229" s="99"/>
      <c r="K229" s="159"/>
      <c r="L229" s="159"/>
      <c r="M229" s="159"/>
      <c r="N229" s="159"/>
    </row>
    <row r="230" spans="2:14" ht="13.5" customHeight="1" x14ac:dyDescent="0.25">
      <c r="B230" s="159" t="s">
        <v>887</v>
      </c>
      <c r="C230" s="106" t="s">
        <v>888</v>
      </c>
      <c r="D230" s="147" t="s">
        <v>120</v>
      </c>
      <c r="E230" s="99">
        <v>73400</v>
      </c>
      <c r="F230" s="99"/>
      <c r="G230" s="99"/>
      <c r="H230" s="99"/>
      <c r="I230" s="99"/>
      <c r="K230" s="159"/>
      <c r="L230" s="159"/>
      <c r="M230" s="159"/>
      <c r="N230" s="159"/>
    </row>
    <row r="231" spans="2:14" ht="13.5" customHeight="1" x14ac:dyDescent="0.25">
      <c r="B231" s="159" t="s">
        <v>889</v>
      </c>
      <c r="C231" s="196" t="s">
        <v>890</v>
      </c>
      <c r="D231" s="147" t="s">
        <v>53</v>
      </c>
      <c r="E231" s="99">
        <f>46484/(1.6*18)</f>
        <v>1614.0277777777778</v>
      </c>
      <c r="F231" s="99"/>
      <c r="G231" s="99"/>
      <c r="H231" s="99"/>
      <c r="I231" s="99"/>
      <c r="K231" s="159"/>
      <c r="L231" s="159"/>
      <c r="M231" s="159"/>
      <c r="N231" s="159"/>
    </row>
    <row r="232" spans="2:14" ht="13.5" customHeight="1" x14ac:dyDescent="0.25">
      <c r="B232" s="159" t="s">
        <v>891</v>
      </c>
      <c r="C232" s="196" t="s">
        <v>892</v>
      </c>
      <c r="D232" s="147" t="s">
        <v>120</v>
      </c>
      <c r="E232" s="99">
        <v>11800</v>
      </c>
      <c r="F232" s="99"/>
      <c r="G232" s="99"/>
      <c r="H232" s="99"/>
      <c r="I232" s="99"/>
      <c r="K232" s="159"/>
      <c r="L232" s="159"/>
      <c r="M232" s="159"/>
      <c r="N232" s="159"/>
    </row>
    <row r="233" spans="2:14" ht="13.5" customHeight="1" x14ac:dyDescent="0.25">
      <c r="B233" s="197" t="s">
        <v>893</v>
      </c>
      <c r="C233" s="198" t="s">
        <v>894</v>
      </c>
      <c r="D233" s="147" t="s">
        <v>120</v>
      </c>
      <c r="E233" s="98">
        <v>137353</v>
      </c>
      <c r="F233" s="98"/>
      <c r="G233" s="98"/>
      <c r="H233" s="98"/>
      <c r="I233" s="98"/>
      <c r="K233" s="159"/>
      <c r="L233" s="159"/>
      <c r="M233" s="159"/>
      <c r="N233" s="159"/>
    </row>
    <row r="234" spans="2:14" ht="13.5" customHeight="1" x14ac:dyDescent="0.25">
      <c r="B234" s="159" t="s">
        <v>895</v>
      </c>
      <c r="C234" s="196" t="s">
        <v>896</v>
      </c>
      <c r="D234" s="147" t="s">
        <v>160</v>
      </c>
      <c r="E234" s="183">
        <f>5679/0.924</f>
        <v>6146.1038961038957</v>
      </c>
      <c r="F234" s="183"/>
      <c r="G234" s="183"/>
      <c r="H234" s="183"/>
      <c r="I234" s="183"/>
      <c r="J234" s="95">
        <v>0.92400000000000004</v>
      </c>
      <c r="K234" s="159"/>
      <c r="L234" s="159"/>
      <c r="M234" s="159"/>
      <c r="N234" s="159"/>
    </row>
    <row r="235" spans="2:14" ht="13.5" customHeight="1" x14ac:dyDescent="0.25">
      <c r="B235" s="159" t="s">
        <v>897</v>
      </c>
      <c r="C235" s="196" t="s">
        <v>898</v>
      </c>
      <c r="D235" s="147" t="s">
        <v>53</v>
      </c>
      <c r="E235" s="183">
        <f>115560/(1.22*2.44)</f>
        <v>38820.209621069604</v>
      </c>
      <c r="F235" s="183"/>
      <c r="G235" s="183"/>
      <c r="H235" s="183"/>
      <c r="I235" s="183"/>
      <c r="J235" s="95">
        <f>1.22*2.44</f>
        <v>2.9767999999999999</v>
      </c>
      <c r="K235" s="159"/>
      <c r="L235" s="159"/>
      <c r="M235" s="159"/>
      <c r="N235" s="159"/>
    </row>
    <row r="236" spans="2:14" ht="13.5" customHeight="1" x14ac:dyDescent="0.25">
      <c r="B236" s="159" t="s">
        <v>899</v>
      </c>
      <c r="C236" s="196" t="s">
        <v>900</v>
      </c>
      <c r="D236" s="147" t="s">
        <v>136</v>
      </c>
      <c r="E236" s="99">
        <v>114.67</v>
      </c>
      <c r="F236" s="99"/>
      <c r="G236" s="99"/>
      <c r="H236" s="99"/>
      <c r="I236" s="99"/>
      <c r="K236" s="159"/>
      <c r="L236" s="159"/>
      <c r="M236" s="159"/>
      <c r="N236" s="159"/>
    </row>
    <row r="237" spans="2:14" ht="13.5" customHeight="1" x14ac:dyDescent="0.25">
      <c r="B237" s="159" t="s">
        <v>901</v>
      </c>
      <c r="C237" s="199" t="s">
        <v>902</v>
      </c>
      <c r="D237" s="147" t="s">
        <v>120</v>
      </c>
      <c r="E237" s="99">
        <f>19900/100</f>
        <v>199</v>
      </c>
      <c r="F237" s="99"/>
      <c r="G237" s="99"/>
      <c r="H237" s="99"/>
      <c r="I237" s="99"/>
      <c r="K237" s="159"/>
      <c r="L237" s="159"/>
      <c r="M237" s="159"/>
      <c r="N237" s="159"/>
    </row>
    <row r="238" spans="2:14" ht="13.5" customHeight="1" x14ac:dyDescent="0.25">
      <c r="B238" s="159" t="s">
        <v>903</v>
      </c>
      <c r="C238" s="196" t="s">
        <v>904</v>
      </c>
      <c r="D238" s="147" t="s">
        <v>120</v>
      </c>
      <c r="E238" s="99">
        <v>7400</v>
      </c>
      <c r="F238" s="99"/>
      <c r="G238" s="99"/>
      <c r="H238" s="99"/>
      <c r="I238" s="99"/>
      <c r="K238" s="159"/>
      <c r="L238" s="159"/>
      <c r="M238" s="159"/>
      <c r="N238" s="159"/>
    </row>
    <row r="239" spans="2:14" ht="13.5" customHeight="1" x14ac:dyDescent="0.25">
      <c r="B239" s="159" t="s">
        <v>905</v>
      </c>
      <c r="C239" s="196" t="s">
        <v>906</v>
      </c>
      <c r="D239" s="147" t="s">
        <v>53</v>
      </c>
      <c r="E239" s="183">
        <f>44864/(1.22*2.44)</f>
        <v>15071.217414673476</v>
      </c>
      <c r="F239" s="183"/>
      <c r="G239" s="183"/>
      <c r="H239" s="183"/>
      <c r="I239" s="183"/>
      <c r="K239" s="159"/>
      <c r="L239" s="159"/>
      <c r="M239" s="159"/>
      <c r="N239" s="159"/>
    </row>
    <row r="240" spans="2:14" ht="13.5" customHeight="1" x14ac:dyDescent="0.25">
      <c r="B240" s="159" t="s">
        <v>907</v>
      </c>
      <c r="C240" s="196" t="s">
        <v>908</v>
      </c>
      <c r="D240" s="147" t="s">
        <v>53</v>
      </c>
      <c r="E240" s="183">
        <f>80462/(1.22*2.44)</f>
        <v>27029.696318194034</v>
      </c>
      <c r="F240" s="183"/>
      <c r="G240" s="183"/>
      <c r="H240" s="183"/>
      <c r="I240" s="183"/>
      <c r="K240" s="159"/>
      <c r="L240" s="159"/>
      <c r="M240" s="159"/>
      <c r="N240" s="159"/>
    </row>
    <row r="241" spans="2:14" ht="13.5" customHeight="1" x14ac:dyDescent="0.25">
      <c r="B241" s="159" t="s">
        <v>909</v>
      </c>
      <c r="C241" s="196" t="s">
        <v>910</v>
      </c>
      <c r="D241" s="147" t="s">
        <v>512</v>
      </c>
      <c r="E241" s="99">
        <v>146900</v>
      </c>
      <c r="F241" s="99"/>
      <c r="G241" s="99"/>
      <c r="H241" s="99"/>
      <c r="I241" s="99"/>
      <c r="K241" s="159"/>
      <c r="L241" s="159"/>
      <c r="M241" s="159"/>
      <c r="N241" s="159"/>
    </row>
    <row r="242" spans="2:14" ht="13.5" customHeight="1" x14ac:dyDescent="0.25">
      <c r="B242" s="159" t="s">
        <v>911</v>
      </c>
      <c r="C242" s="196" t="s">
        <v>912</v>
      </c>
      <c r="D242" s="147" t="s">
        <v>136</v>
      </c>
      <c r="E242" s="183">
        <f>6900/2.44</f>
        <v>2827.8688524590166</v>
      </c>
      <c r="F242" s="183"/>
      <c r="G242" s="183"/>
      <c r="H242" s="183"/>
      <c r="I242" s="183"/>
      <c r="K242" s="159"/>
      <c r="L242" s="159"/>
      <c r="M242" s="159"/>
      <c r="N242" s="159"/>
    </row>
    <row r="243" spans="2:14" ht="13.5" customHeight="1" x14ac:dyDescent="0.25">
      <c r="B243" s="159" t="s">
        <v>913</v>
      </c>
      <c r="C243" s="196" t="s">
        <v>914</v>
      </c>
      <c r="D243" s="147" t="s">
        <v>53</v>
      </c>
      <c r="E243" s="183">
        <f>126895/9</f>
        <v>14099.444444444445</v>
      </c>
      <c r="F243" s="183"/>
      <c r="G243" s="183"/>
      <c r="H243" s="183"/>
      <c r="I243" s="183"/>
      <c r="J243" s="95">
        <f>7.5*1.2</f>
        <v>9</v>
      </c>
      <c r="K243" s="159"/>
      <c r="L243" s="159"/>
      <c r="M243" s="159"/>
      <c r="N243" s="159"/>
    </row>
    <row r="244" spans="2:14" ht="13.5" customHeight="1" x14ac:dyDescent="0.25">
      <c r="B244" s="197" t="s">
        <v>915</v>
      </c>
      <c r="C244" s="198" t="s">
        <v>916</v>
      </c>
      <c r="D244" s="147" t="s">
        <v>120</v>
      </c>
      <c r="E244" s="98">
        <v>246500</v>
      </c>
      <c r="F244" s="98"/>
      <c r="G244" s="98"/>
      <c r="H244" s="98"/>
      <c r="I244" s="98"/>
      <c r="K244" s="159"/>
      <c r="L244" s="159"/>
      <c r="M244" s="159"/>
      <c r="N244" s="159"/>
    </row>
    <row r="245" spans="2:14" ht="13.5" customHeight="1" x14ac:dyDescent="0.25">
      <c r="B245" s="159" t="s">
        <v>917</v>
      </c>
      <c r="C245" s="196" t="s">
        <v>918</v>
      </c>
      <c r="D245" s="147" t="s">
        <v>160</v>
      </c>
      <c r="E245" s="99">
        <f>53600/25</f>
        <v>2144</v>
      </c>
      <c r="F245" s="99"/>
      <c r="G245" s="99"/>
      <c r="H245" s="99"/>
      <c r="I245" s="99"/>
      <c r="K245" s="159"/>
      <c r="L245" s="159"/>
      <c r="M245" s="159"/>
      <c r="N245" s="159"/>
    </row>
    <row r="246" spans="2:14" ht="13.5" customHeight="1" x14ac:dyDescent="0.25">
      <c r="B246" s="159" t="s">
        <v>919</v>
      </c>
      <c r="C246" s="196" t="s">
        <v>920</v>
      </c>
      <c r="D246" s="147" t="s">
        <v>160</v>
      </c>
      <c r="E246" s="99">
        <f>26900/5</f>
        <v>5380</v>
      </c>
      <c r="F246" s="99"/>
      <c r="G246" s="99"/>
      <c r="H246" s="99"/>
      <c r="I246" s="99"/>
      <c r="K246" s="159"/>
      <c r="L246" s="159"/>
      <c r="M246" s="159"/>
      <c r="N246" s="159"/>
    </row>
    <row r="247" spans="2:14" ht="13.5" customHeight="1" x14ac:dyDescent="0.25">
      <c r="B247" s="159" t="s">
        <v>921</v>
      </c>
      <c r="C247" s="196" t="s">
        <v>922</v>
      </c>
      <c r="D247" s="147" t="s">
        <v>53</v>
      </c>
      <c r="E247" s="99">
        <v>55900</v>
      </c>
      <c r="F247" s="99"/>
      <c r="G247" s="99"/>
      <c r="H247" s="99"/>
      <c r="I247" s="99"/>
      <c r="K247" s="159"/>
      <c r="L247" s="159"/>
      <c r="M247" s="159"/>
      <c r="N247" s="159"/>
    </row>
    <row r="248" spans="2:14" ht="13.5" customHeight="1" x14ac:dyDescent="0.25">
      <c r="B248" s="159" t="s">
        <v>923</v>
      </c>
      <c r="C248" s="196" t="s">
        <v>924</v>
      </c>
      <c r="D248" s="147" t="s">
        <v>160</v>
      </c>
      <c r="E248" s="99">
        <f>35900/25</f>
        <v>1436</v>
      </c>
      <c r="F248" s="99"/>
      <c r="G248" s="99"/>
      <c r="H248" s="99"/>
      <c r="I248" s="99"/>
      <c r="K248" s="159"/>
      <c r="L248" s="159"/>
      <c r="M248" s="159"/>
      <c r="N248" s="159"/>
    </row>
    <row r="249" spans="2:14" ht="13.5" customHeight="1" x14ac:dyDescent="0.25">
      <c r="B249" s="159" t="s">
        <v>925</v>
      </c>
      <c r="C249" s="196" t="s">
        <v>926</v>
      </c>
      <c r="D249" s="147" t="s">
        <v>53</v>
      </c>
      <c r="E249" s="99">
        <v>49496</v>
      </c>
      <c r="F249" s="99"/>
      <c r="G249" s="99"/>
      <c r="H249" s="99"/>
      <c r="I249" s="99"/>
      <c r="K249" s="159"/>
      <c r="L249" s="159"/>
      <c r="M249" s="159"/>
      <c r="N249" s="159"/>
    </row>
    <row r="250" spans="2:14" ht="13.5" customHeight="1" x14ac:dyDescent="0.25">
      <c r="B250" s="159" t="s">
        <v>927</v>
      </c>
      <c r="C250" s="196" t="s">
        <v>928</v>
      </c>
      <c r="D250" s="147" t="s">
        <v>53</v>
      </c>
      <c r="E250" s="99">
        <v>49496</v>
      </c>
      <c r="F250" s="99"/>
      <c r="G250" s="99"/>
      <c r="H250" s="99"/>
      <c r="I250" s="99"/>
      <c r="K250" s="159"/>
      <c r="L250" s="159"/>
      <c r="M250" s="159"/>
      <c r="N250" s="159"/>
    </row>
    <row r="251" spans="2:14" ht="13.5" customHeight="1" x14ac:dyDescent="0.25">
      <c r="B251" s="159" t="s">
        <v>929</v>
      </c>
      <c r="C251" s="196" t="s">
        <v>930</v>
      </c>
      <c r="D251" s="147" t="s">
        <v>136</v>
      </c>
      <c r="E251" s="99">
        <f>63899</f>
        <v>63899</v>
      </c>
      <c r="F251" s="99"/>
      <c r="G251" s="99"/>
      <c r="H251" s="99"/>
      <c r="I251" s="99"/>
      <c r="K251" s="159"/>
      <c r="L251" s="159"/>
      <c r="M251" s="159"/>
      <c r="N251" s="159"/>
    </row>
    <row r="252" spans="2:14" ht="13.5" customHeight="1" x14ac:dyDescent="0.25">
      <c r="B252" s="159" t="s">
        <v>931</v>
      </c>
      <c r="C252" s="196" t="s">
        <v>932</v>
      </c>
      <c r="D252" s="147" t="s">
        <v>136</v>
      </c>
      <c r="E252" s="99">
        <f>44000/3</f>
        <v>14666.666666666666</v>
      </c>
      <c r="F252" s="99"/>
      <c r="G252" s="99"/>
      <c r="H252" s="99"/>
      <c r="I252" s="99"/>
      <c r="K252" s="159"/>
      <c r="L252" s="159"/>
      <c r="M252" s="159"/>
      <c r="N252" s="159"/>
    </row>
    <row r="253" spans="2:14" ht="13.5" customHeight="1" x14ac:dyDescent="0.25">
      <c r="B253" s="159" t="s">
        <v>933</v>
      </c>
      <c r="C253" s="196" t="s">
        <v>934</v>
      </c>
      <c r="D253" s="147" t="s">
        <v>136</v>
      </c>
      <c r="E253" s="99">
        <v>64024</v>
      </c>
      <c r="F253" s="99"/>
      <c r="G253" s="99"/>
      <c r="H253" s="99"/>
      <c r="I253" s="99"/>
      <c r="K253" s="159"/>
      <c r="L253" s="159"/>
      <c r="M253" s="159"/>
      <c r="N253" s="159"/>
    </row>
    <row r="254" spans="2:14" ht="13.5" customHeight="1" x14ac:dyDescent="0.25">
      <c r="B254" s="159" t="s">
        <v>935</v>
      </c>
      <c r="C254" s="196" t="s">
        <v>936</v>
      </c>
      <c r="D254" s="147" t="s">
        <v>120</v>
      </c>
      <c r="E254" s="99">
        <v>129</v>
      </c>
      <c r="F254" s="99"/>
      <c r="G254" s="99"/>
      <c r="H254" s="99"/>
      <c r="I254" s="99"/>
      <c r="K254" s="159"/>
      <c r="L254" s="159"/>
      <c r="M254" s="159"/>
      <c r="N254" s="159"/>
    </row>
    <row r="255" spans="2:14" ht="13.5" customHeight="1" x14ac:dyDescent="0.25">
      <c r="B255" s="197" t="s">
        <v>937</v>
      </c>
      <c r="C255" s="198" t="s">
        <v>938</v>
      </c>
      <c r="D255" s="147" t="s">
        <v>120</v>
      </c>
      <c r="E255" s="98">
        <v>291400</v>
      </c>
      <c r="F255" s="98"/>
      <c r="G255" s="98"/>
      <c r="H255" s="98"/>
      <c r="I255" s="98"/>
      <c r="K255" s="159"/>
      <c r="L255" s="159"/>
      <c r="M255" s="159"/>
      <c r="N255" s="159"/>
    </row>
    <row r="256" spans="2:14" ht="13.5" customHeight="1" x14ac:dyDescent="0.25">
      <c r="B256" s="159" t="s">
        <v>939</v>
      </c>
      <c r="C256" s="196" t="s">
        <v>940</v>
      </c>
      <c r="D256" s="147" t="s">
        <v>136</v>
      </c>
      <c r="E256" s="99">
        <v>175.56</v>
      </c>
      <c r="F256" s="99"/>
      <c r="G256" s="99"/>
      <c r="H256" s="99"/>
      <c r="I256" s="99"/>
      <c r="K256" s="159"/>
      <c r="L256" s="159"/>
      <c r="M256" s="159"/>
      <c r="N256" s="159"/>
    </row>
    <row r="257" spans="2:14" ht="13.5" customHeight="1" x14ac:dyDescent="0.25">
      <c r="B257" s="159" t="s">
        <v>941</v>
      </c>
      <c r="C257" s="196" t="s">
        <v>942</v>
      </c>
      <c r="D257" s="147" t="s">
        <v>53</v>
      </c>
      <c r="E257" s="99">
        <v>48899</v>
      </c>
      <c r="F257" s="99"/>
      <c r="G257" s="99"/>
      <c r="H257" s="99"/>
      <c r="I257" s="99"/>
      <c r="K257" s="159"/>
      <c r="L257" s="159"/>
      <c r="M257" s="159"/>
      <c r="N257" s="159"/>
    </row>
    <row r="258" spans="2:14" ht="13.5" customHeight="1" x14ac:dyDescent="0.25">
      <c r="B258" s="159" t="s">
        <v>943</v>
      </c>
      <c r="C258" s="196" t="s">
        <v>944</v>
      </c>
      <c r="D258" s="147" t="s">
        <v>53</v>
      </c>
      <c r="E258" s="99">
        <v>1515</v>
      </c>
      <c r="F258" s="99"/>
      <c r="G258" s="99"/>
      <c r="H258" s="99"/>
      <c r="I258" s="99"/>
      <c r="K258" s="159"/>
      <c r="L258" s="159"/>
      <c r="M258" s="159"/>
      <c r="N258" s="159"/>
    </row>
    <row r="259" spans="2:14" ht="13.5" customHeight="1" x14ac:dyDescent="0.25">
      <c r="B259" s="159" t="s">
        <v>945</v>
      </c>
      <c r="C259" s="196" t="s">
        <v>946</v>
      </c>
      <c r="D259" s="147" t="s">
        <v>53</v>
      </c>
      <c r="E259" s="183">
        <f>34900/(0.6*10)</f>
        <v>5816.666666666667</v>
      </c>
      <c r="F259" s="183"/>
      <c r="G259" s="183"/>
      <c r="H259" s="183"/>
      <c r="I259" s="183"/>
      <c r="K259" s="159"/>
      <c r="L259" s="159"/>
      <c r="M259" s="159"/>
      <c r="N259" s="159"/>
    </row>
    <row r="260" spans="2:14" ht="13.5" customHeight="1" x14ac:dyDescent="0.25">
      <c r="B260" s="159" t="s">
        <v>947</v>
      </c>
      <c r="C260" s="196" t="s">
        <v>948</v>
      </c>
      <c r="D260" s="147" t="s">
        <v>53</v>
      </c>
      <c r="E260" s="99">
        <v>61500</v>
      </c>
      <c r="F260" s="99"/>
      <c r="G260" s="99"/>
      <c r="H260" s="99"/>
      <c r="I260" s="99"/>
      <c r="K260" s="159"/>
      <c r="L260" s="159"/>
      <c r="M260" s="159"/>
      <c r="N260" s="159"/>
    </row>
    <row r="261" spans="2:14" ht="13.5" customHeight="1" x14ac:dyDescent="0.25">
      <c r="B261" s="159" t="s">
        <v>949</v>
      </c>
      <c r="C261" s="196" t="s">
        <v>950</v>
      </c>
      <c r="D261" s="147" t="s">
        <v>53</v>
      </c>
      <c r="E261" s="99">
        <v>56850</v>
      </c>
      <c r="F261" s="99"/>
      <c r="G261" s="99"/>
      <c r="H261" s="99"/>
      <c r="I261" s="99"/>
      <c r="K261" s="159"/>
      <c r="L261" s="159"/>
      <c r="M261" s="159"/>
      <c r="N261" s="159"/>
    </row>
    <row r="262" spans="2:14" ht="13.5" customHeight="1" x14ac:dyDescent="0.25">
      <c r="B262" s="159" t="s">
        <v>951</v>
      </c>
      <c r="C262" s="196" t="s">
        <v>952</v>
      </c>
      <c r="D262" s="147" t="s">
        <v>53</v>
      </c>
      <c r="E262" s="99">
        <v>84900</v>
      </c>
      <c r="F262" s="99"/>
      <c r="G262" s="99"/>
      <c r="H262" s="99"/>
      <c r="I262" s="99"/>
      <c r="K262" s="159"/>
      <c r="L262" s="159"/>
      <c r="M262" s="159"/>
      <c r="N262" s="159"/>
    </row>
    <row r="263" spans="2:14" ht="13.5" customHeight="1" x14ac:dyDescent="0.25">
      <c r="B263" s="159" t="s">
        <v>953</v>
      </c>
      <c r="C263" s="196" t="s">
        <v>954</v>
      </c>
      <c r="D263" s="147" t="s">
        <v>53</v>
      </c>
      <c r="E263" s="99">
        <v>98900</v>
      </c>
      <c r="F263" s="99"/>
      <c r="G263" s="99"/>
      <c r="H263" s="99"/>
      <c r="I263" s="99"/>
      <c r="K263" s="159"/>
      <c r="L263" s="159"/>
      <c r="M263" s="159"/>
      <c r="N263" s="159"/>
    </row>
    <row r="264" spans="2:14" ht="13.5" customHeight="1" x14ac:dyDescent="0.25">
      <c r="B264" s="159" t="s">
        <v>955</v>
      </c>
      <c r="C264" s="196" t="s">
        <v>956</v>
      </c>
      <c r="D264" s="147" t="s">
        <v>120</v>
      </c>
      <c r="E264" s="99">
        <v>30000</v>
      </c>
      <c r="F264" s="99"/>
      <c r="G264" s="99"/>
      <c r="H264" s="99"/>
      <c r="I264" s="99"/>
      <c r="K264" s="159"/>
      <c r="L264" s="159"/>
      <c r="M264" s="159"/>
      <c r="N264" s="159"/>
    </row>
    <row r="265" spans="2:14" ht="13.5" customHeight="1" x14ac:dyDescent="0.25">
      <c r="B265" s="159" t="s">
        <v>957</v>
      </c>
      <c r="C265" s="200" t="s">
        <v>958</v>
      </c>
      <c r="D265" s="147" t="s">
        <v>57</v>
      </c>
      <c r="E265" s="99">
        <f>120000/6</f>
        <v>20000</v>
      </c>
      <c r="F265" s="99">
        <f>120000/6</f>
        <v>20000</v>
      </c>
      <c r="G265" s="99" t="s">
        <v>103</v>
      </c>
      <c r="H265" s="99">
        <v>20000</v>
      </c>
      <c r="I265" s="100" t="s">
        <v>104</v>
      </c>
      <c r="K265" s="159"/>
      <c r="L265" s="159"/>
      <c r="M265" s="159"/>
      <c r="N265" s="159"/>
    </row>
    <row r="266" spans="2:14" ht="13.5" customHeight="1" x14ac:dyDescent="0.25">
      <c r="B266" s="197" t="s">
        <v>959</v>
      </c>
      <c r="C266" s="198" t="s">
        <v>960</v>
      </c>
      <c r="D266" s="147" t="s">
        <v>136</v>
      </c>
      <c r="E266" s="98">
        <f>65450/3</f>
        <v>21816.666666666668</v>
      </c>
      <c r="F266" s="98"/>
      <c r="G266" s="98"/>
      <c r="H266" s="98"/>
      <c r="I266" s="98"/>
      <c r="K266" s="159"/>
      <c r="L266" s="159"/>
      <c r="M266" s="159"/>
      <c r="N266" s="159"/>
    </row>
    <row r="267" spans="2:14" ht="13.5" customHeight="1" x14ac:dyDescent="0.25">
      <c r="B267" s="197" t="s">
        <v>961</v>
      </c>
      <c r="C267" s="196" t="s">
        <v>962</v>
      </c>
      <c r="D267" s="147" t="s">
        <v>53</v>
      </c>
      <c r="E267" s="201">
        <f>165000/10</f>
        <v>16500</v>
      </c>
      <c r="F267" s="201"/>
      <c r="G267" s="201"/>
      <c r="H267" s="201"/>
      <c r="I267" s="201"/>
      <c r="K267" s="159"/>
      <c r="L267" s="159"/>
      <c r="M267" s="159"/>
      <c r="N267" s="159"/>
    </row>
    <row r="268" spans="2:14" ht="13.5" customHeight="1" x14ac:dyDescent="0.25">
      <c r="B268" s="197" t="s">
        <v>963</v>
      </c>
      <c r="C268" s="196" t="s">
        <v>964</v>
      </c>
      <c r="D268" s="147" t="s">
        <v>160</v>
      </c>
      <c r="E268" s="201">
        <f>37900/20</f>
        <v>1895</v>
      </c>
      <c r="F268" s="201"/>
      <c r="G268" s="201"/>
      <c r="H268" s="201"/>
      <c r="I268" s="201"/>
      <c r="K268" s="159"/>
      <c r="L268" s="159"/>
      <c r="M268" s="159"/>
      <c r="N268" s="159"/>
    </row>
    <row r="269" spans="2:14" ht="13.5" customHeight="1" x14ac:dyDescent="0.25">
      <c r="B269" s="197" t="s">
        <v>965</v>
      </c>
      <c r="C269" s="196" t="s">
        <v>966</v>
      </c>
      <c r="D269" s="147" t="s">
        <v>53</v>
      </c>
      <c r="E269" s="99">
        <f>220000/10</f>
        <v>22000</v>
      </c>
      <c r="F269" s="99"/>
      <c r="G269" s="99"/>
      <c r="H269" s="99"/>
      <c r="I269" s="99"/>
      <c r="K269" s="159"/>
      <c r="L269" s="159"/>
      <c r="M269" s="159"/>
      <c r="N269" s="159"/>
    </row>
    <row r="270" spans="2:14" ht="13.5" customHeight="1" x14ac:dyDescent="0.25">
      <c r="B270" s="197" t="s">
        <v>967</v>
      </c>
      <c r="C270" s="174" t="s">
        <v>968</v>
      </c>
      <c r="D270" s="147" t="s">
        <v>160</v>
      </c>
      <c r="E270" s="201">
        <v>22945</v>
      </c>
      <c r="F270" s="201"/>
      <c r="G270" s="201"/>
      <c r="H270" s="201"/>
      <c r="I270" s="201"/>
      <c r="K270" s="159"/>
      <c r="L270" s="159"/>
      <c r="M270" s="159"/>
      <c r="N270" s="159"/>
    </row>
    <row r="271" spans="2:14" ht="13.5" customHeight="1" x14ac:dyDescent="0.25">
      <c r="B271" s="197" t="s">
        <v>969</v>
      </c>
      <c r="C271" s="174" t="s">
        <v>970</v>
      </c>
      <c r="D271" s="147" t="s">
        <v>160</v>
      </c>
      <c r="E271" s="99">
        <v>60000</v>
      </c>
      <c r="F271" s="99"/>
      <c r="G271" s="99"/>
      <c r="H271" s="99"/>
      <c r="I271" s="99"/>
      <c r="K271" s="159"/>
      <c r="L271" s="159"/>
      <c r="M271" s="159"/>
      <c r="N271" s="159"/>
    </row>
    <row r="272" spans="2:14" ht="13.5" customHeight="1" x14ac:dyDescent="0.25">
      <c r="B272" s="197" t="s">
        <v>971</v>
      </c>
      <c r="C272" s="174" t="s">
        <v>972</v>
      </c>
      <c r="D272" s="147" t="s">
        <v>973</v>
      </c>
      <c r="E272" s="99">
        <v>36800</v>
      </c>
      <c r="F272" s="99"/>
      <c r="G272" s="99"/>
      <c r="H272" s="99"/>
      <c r="I272" s="99"/>
      <c r="K272" s="159"/>
      <c r="L272" s="159"/>
      <c r="M272" s="159"/>
      <c r="N272" s="159"/>
    </row>
    <row r="273" spans="2:14" ht="13.5" customHeight="1" x14ac:dyDescent="0.25">
      <c r="B273" s="159" t="s">
        <v>974</v>
      </c>
      <c r="C273" s="174" t="s">
        <v>589</v>
      </c>
      <c r="D273" s="147" t="s">
        <v>160</v>
      </c>
      <c r="E273" s="98">
        <v>6858</v>
      </c>
      <c r="F273" s="98"/>
      <c r="G273" s="98"/>
      <c r="H273" s="98"/>
      <c r="I273" s="98"/>
      <c r="K273" s="159"/>
      <c r="L273" s="159"/>
      <c r="M273" s="159"/>
      <c r="N273" s="159"/>
    </row>
    <row r="274" spans="2:14" ht="13.5" customHeight="1" x14ac:dyDescent="0.25">
      <c r="B274" s="197" t="s">
        <v>975</v>
      </c>
      <c r="C274" s="174" t="s">
        <v>976</v>
      </c>
      <c r="D274" s="147" t="s">
        <v>120</v>
      </c>
      <c r="E274" s="99">
        <v>23900</v>
      </c>
      <c r="F274" s="99"/>
      <c r="G274" s="99"/>
      <c r="H274" s="99"/>
      <c r="I274" s="99"/>
      <c r="K274" s="159"/>
      <c r="L274" s="159"/>
      <c r="M274" s="159"/>
      <c r="N274" s="159"/>
    </row>
    <row r="275" spans="2:14" ht="13.5" customHeight="1" x14ac:dyDescent="0.25">
      <c r="B275" s="197" t="s">
        <v>977</v>
      </c>
      <c r="C275" s="198" t="s">
        <v>978</v>
      </c>
      <c r="D275" s="147" t="s">
        <v>136</v>
      </c>
      <c r="E275" s="98">
        <f>40800/3</f>
        <v>13600</v>
      </c>
      <c r="F275" s="98"/>
      <c r="G275" s="98"/>
      <c r="H275" s="98"/>
      <c r="I275" s="98"/>
      <c r="K275" s="159"/>
      <c r="L275" s="159"/>
      <c r="M275" s="159"/>
      <c r="N275" s="159"/>
    </row>
    <row r="276" spans="2:14" ht="13.5" customHeight="1" x14ac:dyDescent="0.25">
      <c r="B276" s="197" t="s">
        <v>979</v>
      </c>
      <c r="C276" s="202" t="s">
        <v>980</v>
      </c>
      <c r="D276" s="203" t="s">
        <v>160</v>
      </c>
      <c r="E276" s="98">
        <f>(27000*1.19)/42.5</f>
        <v>756</v>
      </c>
      <c r="F276" s="98">
        <f>(27000*1.19)/42.5</f>
        <v>756</v>
      </c>
      <c r="G276" s="98" t="s">
        <v>981</v>
      </c>
      <c r="H276" s="98"/>
      <c r="I276" s="98"/>
      <c r="K276" s="159"/>
      <c r="L276" s="159"/>
      <c r="M276" s="159"/>
      <c r="N276" s="159"/>
    </row>
    <row r="277" spans="2:14" ht="13.5" customHeight="1" x14ac:dyDescent="0.25">
      <c r="B277" s="197" t="s">
        <v>982</v>
      </c>
      <c r="C277" s="196" t="s">
        <v>983</v>
      </c>
      <c r="D277" s="147" t="s">
        <v>136</v>
      </c>
      <c r="E277" s="98">
        <f>135000/50</f>
        <v>2700</v>
      </c>
      <c r="F277" s="98"/>
      <c r="G277" s="98"/>
      <c r="H277" s="98"/>
      <c r="I277" s="98"/>
      <c r="K277" s="159"/>
      <c r="L277" s="159"/>
      <c r="M277" s="159"/>
      <c r="N277" s="159"/>
    </row>
    <row r="278" spans="2:14" ht="13.5" customHeight="1" x14ac:dyDescent="0.25">
      <c r="B278" s="197" t="s">
        <v>984</v>
      </c>
      <c r="C278" s="196" t="s">
        <v>985</v>
      </c>
      <c r="D278" s="147" t="s">
        <v>136</v>
      </c>
      <c r="E278" s="98">
        <f>107500/50</f>
        <v>2150</v>
      </c>
      <c r="F278" s="98"/>
      <c r="G278" s="98"/>
      <c r="H278" s="98"/>
      <c r="I278" s="98"/>
      <c r="K278" s="159"/>
      <c r="L278" s="159"/>
      <c r="M278" s="159"/>
      <c r="N278" s="159"/>
    </row>
    <row r="279" spans="2:14" ht="13.5" customHeight="1" x14ac:dyDescent="0.25">
      <c r="B279" s="197" t="s">
        <v>986</v>
      </c>
      <c r="C279" s="202" t="s">
        <v>987</v>
      </c>
      <c r="D279" s="147" t="s">
        <v>57</v>
      </c>
      <c r="E279" s="98">
        <f>120000/6</f>
        <v>20000</v>
      </c>
      <c r="F279" s="99">
        <f>120000/6</f>
        <v>20000</v>
      </c>
      <c r="G279" s="99" t="s">
        <v>103</v>
      </c>
      <c r="H279" s="99">
        <v>20000</v>
      </c>
      <c r="I279" s="100" t="s">
        <v>104</v>
      </c>
      <c r="K279" s="159"/>
      <c r="L279" s="159"/>
      <c r="M279" s="159"/>
      <c r="N279" s="159"/>
    </row>
    <row r="280" spans="2:14" ht="13.5" customHeight="1" x14ac:dyDescent="0.25">
      <c r="B280" s="197" t="s">
        <v>988</v>
      </c>
      <c r="C280" s="196" t="s">
        <v>989</v>
      </c>
      <c r="D280" s="147" t="s">
        <v>136</v>
      </c>
      <c r="E280" s="98">
        <f>19013/3</f>
        <v>6337.666666666667</v>
      </c>
      <c r="F280" s="98"/>
      <c r="G280" s="98"/>
      <c r="H280" s="98"/>
      <c r="I280" s="98"/>
      <c r="K280" s="159"/>
      <c r="L280" s="159"/>
      <c r="M280" s="159"/>
      <c r="N280" s="159"/>
    </row>
    <row r="281" spans="2:14" ht="13.5" customHeight="1" x14ac:dyDescent="0.25">
      <c r="B281" s="197" t="s">
        <v>990</v>
      </c>
      <c r="C281" s="196" t="s">
        <v>991</v>
      </c>
      <c r="D281" s="147" t="s">
        <v>120</v>
      </c>
      <c r="E281" s="98">
        <v>1588</v>
      </c>
      <c r="F281" s="98"/>
      <c r="G281" s="98"/>
      <c r="H281" s="98"/>
      <c r="I281" s="98"/>
      <c r="K281" s="159"/>
      <c r="L281" s="159"/>
      <c r="M281" s="159"/>
      <c r="N281" s="159"/>
    </row>
    <row r="282" spans="2:14" ht="13.5" customHeight="1" x14ac:dyDescent="0.25">
      <c r="B282" s="197" t="s">
        <v>992</v>
      </c>
      <c r="C282" s="196" t="s">
        <v>993</v>
      </c>
      <c r="D282" s="147" t="s">
        <v>120</v>
      </c>
      <c r="E282" s="98">
        <v>4084</v>
      </c>
      <c r="F282" s="98"/>
      <c r="G282" s="98"/>
      <c r="H282" s="98"/>
      <c r="I282" s="98"/>
      <c r="K282" s="159"/>
      <c r="L282" s="159"/>
      <c r="M282" s="159"/>
      <c r="N282" s="159"/>
    </row>
    <row r="283" spans="2:14" ht="13.5" customHeight="1" x14ac:dyDescent="0.25">
      <c r="B283" s="197" t="s">
        <v>994</v>
      </c>
      <c r="C283" s="196" t="s">
        <v>995</v>
      </c>
      <c r="D283" s="147" t="s">
        <v>120</v>
      </c>
      <c r="E283" s="98">
        <v>2300</v>
      </c>
      <c r="F283" s="98"/>
      <c r="G283" s="98"/>
      <c r="H283" s="98"/>
      <c r="I283" s="98"/>
      <c r="K283" s="159"/>
      <c r="L283" s="159"/>
      <c r="M283" s="159"/>
      <c r="N283" s="159"/>
    </row>
    <row r="284" spans="2:14" ht="13.5" customHeight="1" x14ac:dyDescent="0.25">
      <c r="B284" s="197" t="s">
        <v>996</v>
      </c>
      <c r="C284" s="196" t="s">
        <v>997</v>
      </c>
      <c r="D284" s="147" t="s">
        <v>136</v>
      </c>
      <c r="E284" s="98">
        <v>9750</v>
      </c>
      <c r="F284" s="98"/>
      <c r="G284" s="98"/>
      <c r="H284" s="98"/>
      <c r="I284" s="98"/>
      <c r="K284" s="159"/>
      <c r="L284" s="159"/>
      <c r="M284" s="159"/>
      <c r="N284" s="159"/>
    </row>
    <row r="285" spans="2:14" ht="13.5" customHeight="1" x14ac:dyDescent="0.25">
      <c r="B285" s="197" t="s">
        <v>998</v>
      </c>
      <c r="C285" s="196" t="s">
        <v>999</v>
      </c>
      <c r="D285" s="147" t="s">
        <v>973</v>
      </c>
      <c r="E285" s="98">
        <v>68500</v>
      </c>
      <c r="F285" s="98"/>
      <c r="G285" s="98"/>
      <c r="H285" s="98"/>
      <c r="I285" s="98"/>
      <c r="K285" s="159"/>
      <c r="L285" s="159"/>
      <c r="M285" s="159"/>
      <c r="N285" s="159"/>
    </row>
    <row r="286" spans="2:14" ht="13.5" customHeight="1" x14ac:dyDescent="0.25">
      <c r="B286" s="197" t="s">
        <v>1000</v>
      </c>
      <c r="C286" s="196" t="s">
        <v>1001</v>
      </c>
      <c r="D286" s="147" t="s">
        <v>120</v>
      </c>
      <c r="E286" s="98">
        <v>1300</v>
      </c>
      <c r="F286" s="98"/>
      <c r="G286" s="98"/>
      <c r="H286" s="98"/>
      <c r="I286" s="98"/>
      <c r="K286" s="159"/>
      <c r="L286" s="159"/>
      <c r="M286" s="159"/>
      <c r="N286" s="159"/>
    </row>
    <row r="287" spans="2:14" ht="13.5" customHeight="1" x14ac:dyDescent="0.25">
      <c r="B287" s="197" t="s">
        <v>1002</v>
      </c>
      <c r="C287" s="196" t="s">
        <v>1003</v>
      </c>
      <c r="D287" s="147" t="s">
        <v>120</v>
      </c>
      <c r="E287" s="98">
        <f>14000/20</f>
        <v>700</v>
      </c>
      <c r="F287" s="98"/>
      <c r="G287" s="98"/>
      <c r="H287" s="98"/>
      <c r="I287" s="98"/>
      <c r="K287" s="159"/>
      <c r="L287" s="159"/>
      <c r="M287" s="159"/>
      <c r="N287" s="159"/>
    </row>
    <row r="288" spans="2:14" ht="13.5" customHeight="1" x14ac:dyDescent="0.25">
      <c r="B288" s="197" t="s">
        <v>1004</v>
      </c>
      <c r="C288" s="196" t="s">
        <v>1005</v>
      </c>
      <c r="D288" s="147" t="s">
        <v>120</v>
      </c>
      <c r="E288" s="98">
        <v>4325</v>
      </c>
      <c r="F288" s="98"/>
      <c r="G288" s="98"/>
      <c r="H288" s="98"/>
      <c r="I288" s="98"/>
      <c r="K288" s="159"/>
      <c r="L288" s="159"/>
      <c r="M288" s="159"/>
      <c r="N288" s="159"/>
    </row>
    <row r="289" spans="2:14" ht="13.5" customHeight="1" x14ac:dyDescent="0.25">
      <c r="B289" s="197" t="s">
        <v>1006</v>
      </c>
      <c r="C289" s="196" t="s">
        <v>1007</v>
      </c>
      <c r="D289" s="147" t="s">
        <v>120</v>
      </c>
      <c r="E289" s="98">
        <v>1250</v>
      </c>
      <c r="F289" s="98"/>
      <c r="G289" s="98"/>
      <c r="H289" s="98"/>
      <c r="I289" s="98"/>
      <c r="K289" s="159"/>
      <c r="L289" s="159"/>
      <c r="M289" s="159"/>
      <c r="N289" s="159"/>
    </row>
    <row r="290" spans="2:14" ht="13.5" customHeight="1" x14ac:dyDescent="0.25">
      <c r="B290" s="197" t="s">
        <v>1008</v>
      </c>
      <c r="C290" s="202" t="s">
        <v>1009</v>
      </c>
      <c r="D290" s="147" t="s">
        <v>57</v>
      </c>
      <c r="E290" s="98">
        <f>300000/6</f>
        <v>50000</v>
      </c>
      <c r="F290" s="99">
        <f>300000/6</f>
        <v>50000</v>
      </c>
      <c r="G290" s="99" t="s">
        <v>103</v>
      </c>
      <c r="H290" s="99">
        <f>300000/6</f>
        <v>50000</v>
      </c>
      <c r="I290" s="100" t="s">
        <v>104</v>
      </c>
      <c r="K290" s="159"/>
      <c r="L290" s="159"/>
      <c r="M290" s="159"/>
      <c r="N290" s="159"/>
    </row>
    <row r="291" spans="2:14" ht="13.5" customHeight="1" x14ac:dyDescent="0.25">
      <c r="B291" s="197" t="s">
        <v>1010</v>
      </c>
      <c r="C291" s="196" t="s">
        <v>1011</v>
      </c>
      <c r="D291" s="147" t="s">
        <v>120</v>
      </c>
      <c r="E291" s="98">
        <v>4800</v>
      </c>
      <c r="F291" s="98"/>
      <c r="G291" s="98"/>
      <c r="H291" s="98"/>
      <c r="I291" s="98"/>
      <c r="K291" s="159"/>
      <c r="L291" s="159"/>
      <c r="M291" s="159"/>
      <c r="N291" s="159"/>
    </row>
    <row r="292" spans="2:14" ht="13.5" customHeight="1" x14ac:dyDescent="0.25">
      <c r="B292" s="197" t="s">
        <v>1012</v>
      </c>
      <c r="C292" s="196" t="s">
        <v>1013</v>
      </c>
      <c r="D292" s="147" t="s">
        <v>120</v>
      </c>
      <c r="E292" s="98">
        <v>39900</v>
      </c>
      <c r="F292" s="98"/>
      <c r="G292" s="98"/>
      <c r="H292" s="98"/>
      <c r="I292" s="98"/>
      <c r="K292" s="159"/>
      <c r="L292" s="159"/>
      <c r="M292" s="159"/>
      <c r="N292" s="159"/>
    </row>
    <row r="293" spans="2:14" ht="13.5" customHeight="1" x14ac:dyDescent="0.25">
      <c r="B293" s="197" t="s">
        <v>1014</v>
      </c>
      <c r="C293" s="196" t="s">
        <v>1015</v>
      </c>
      <c r="D293" s="147" t="s">
        <v>120</v>
      </c>
      <c r="E293" s="98">
        <v>33150</v>
      </c>
      <c r="F293" s="98"/>
      <c r="G293" s="98"/>
      <c r="H293" s="98"/>
      <c r="I293" s="98"/>
      <c r="K293" s="159"/>
      <c r="L293" s="159"/>
      <c r="M293" s="159"/>
      <c r="N293" s="159"/>
    </row>
    <row r="294" spans="2:14" ht="13.5" customHeight="1" x14ac:dyDescent="0.25">
      <c r="B294" s="197" t="s">
        <v>1016</v>
      </c>
      <c r="C294" s="196" t="s">
        <v>1017</v>
      </c>
      <c r="D294" s="147" t="s">
        <v>120</v>
      </c>
      <c r="E294" s="98">
        <v>950</v>
      </c>
      <c r="F294" s="98"/>
      <c r="G294" s="98"/>
      <c r="H294" s="98"/>
      <c r="I294" s="98"/>
      <c r="K294" s="159"/>
      <c r="L294" s="159"/>
      <c r="M294" s="159"/>
      <c r="N294" s="159"/>
    </row>
    <row r="295" spans="2:14" ht="13.5" customHeight="1" x14ac:dyDescent="0.25">
      <c r="B295" s="197" t="s">
        <v>1018</v>
      </c>
      <c r="C295" s="196" t="s">
        <v>1019</v>
      </c>
      <c r="D295" s="147" t="s">
        <v>120</v>
      </c>
      <c r="E295" s="98">
        <v>900</v>
      </c>
      <c r="F295" s="98"/>
      <c r="G295" s="98"/>
      <c r="H295" s="98"/>
      <c r="I295" s="98"/>
      <c r="K295" s="159"/>
      <c r="L295" s="159"/>
      <c r="M295" s="159"/>
      <c r="N295" s="159"/>
    </row>
    <row r="296" spans="2:14" ht="13.5" customHeight="1" x14ac:dyDescent="0.25">
      <c r="B296" s="197" t="s">
        <v>1020</v>
      </c>
      <c r="C296" s="196" t="s">
        <v>207</v>
      </c>
      <c r="D296" s="147" t="s">
        <v>120</v>
      </c>
      <c r="E296" s="98">
        <v>2350</v>
      </c>
      <c r="F296" s="98"/>
      <c r="G296" s="98"/>
      <c r="H296" s="98"/>
      <c r="I296" s="98"/>
      <c r="K296" s="159"/>
      <c r="L296" s="159"/>
      <c r="M296" s="159"/>
      <c r="N296" s="159"/>
    </row>
    <row r="297" spans="2:14" ht="13.5" customHeight="1" x14ac:dyDescent="0.25">
      <c r="B297" s="197" t="s">
        <v>1021</v>
      </c>
      <c r="C297" s="196" t="s">
        <v>1022</v>
      </c>
      <c r="D297" s="147" t="s">
        <v>120</v>
      </c>
      <c r="E297" s="98">
        <v>350</v>
      </c>
      <c r="F297" s="98"/>
      <c r="G297" s="98"/>
      <c r="H297" s="98"/>
      <c r="I297" s="98"/>
      <c r="K297" s="159"/>
      <c r="L297" s="159"/>
      <c r="M297" s="159"/>
      <c r="N297" s="159"/>
    </row>
    <row r="298" spans="2:14" ht="13.5" customHeight="1" x14ac:dyDescent="0.25">
      <c r="B298" s="197" t="s">
        <v>1023</v>
      </c>
      <c r="C298" s="196" t="s">
        <v>1024</v>
      </c>
      <c r="D298" s="147" t="s">
        <v>120</v>
      </c>
      <c r="E298" s="98">
        <v>350</v>
      </c>
      <c r="F298" s="98"/>
      <c r="G298" s="98"/>
      <c r="H298" s="98"/>
      <c r="I298" s="98"/>
      <c r="K298" s="159"/>
      <c r="L298" s="159"/>
      <c r="M298" s="159"/>
      <c r="N298" s="159"/>
    </row>
    <row r="299" spans="2:14" ht="13.5" customHeight="1" x14ac:dyDescent="0.25">
      <c r="B299" s="197" t="s">
        <v>1025</v>
      </c>
      <c r="C299" s="196" t="s">
        <v>1026</v>
      </c>
      <c r="D299" s="147" t="s">
        <v>136</v>
      </c>
      <c r="E299" s="98">
        <v>78350</v>
      </c>
      <c r="F299" s="98"/>
      <c r="G299" s="98"/>
      <c r="H299" s="98"/>
      <c r="I299" s="98"/>
      <c r="K299" s="159"/>
      <c r="L299" s="159"/>
      <c r="M299" s="159"/>
      <c r="N299" s="159"/>
    </row>
    <row r="300" spans="2:14" ht="13.5" customHeight="1" x14ac:dyDescent="0.25">
      <c r="B300" s="197" t="s">
        <v>1027</v>
      </c>
      <c r="C300" s="202" t="s">
        <v>1028</v>
      </c>
      <c r="D300" s="147" t="s">
        <v>57</v>
      </c>
      <c r="E300" s="98">
        <v>3200</v>
      </c>
      <c r="F300" s="98"/>
      <c r="G300" s="98"/>
      <c r="H300" s="98"/>
      <c r="I300" s="98"/>
      <c r="K300" s="159"/>
      <c r="L300" s="159"/>
      <c r="M300" s="159"/>
      <c r="N300" s="159"/>
    </row>
    <row r="301" spans="2:14" ht="13.5" customHeight="1" x14ac:dyDescent="0.25">
      <c r="B301" s="197" t="s">
        <v>1029</v>
      </c>
      <c r="C301" s="204" t="s">
        <v>1030</v>
      </c>
      <c r="D301" s="205" t="s">
        <v>136</v>
      </c>
      <c r="E301" s="98">
        <v>18300</v>
      </c>
      <c r="F301" s="98"/>
      <c r="G301" s="98"/>
      <c r="H301" s="98"/>
      <c r="I301" s="98"/>
    </row>
    <row r="302" spans="2:14" ht="13.5" customHeight="1" x14ac:dyDescent="0.25">
      <c r="B302" s="206" t="s">
        <v>1031</v>
      </c>
      <c r="C302" s="207" t="s">
        <v>1032</v>
      </c>
      <c r="D302" s="208" t="s">
        <v>120</v>
      </c>
      <c r="E302" s="98">
        <v>8450</v>
      </c>
      <c r="F302" s="98"/>
      <c r="G302" s="98"/>
      <c r="H302" s="98"/>
      <c r="I302" s="98"/>
    </row>
    <row r="303" spans="2:14" ht="12.75" customHeight="1" x14ac:dyDescent="0.25">
      <c r="B303" s="209" t="s">
        <v>1033</v>
      </c>
      <c r="C303" s="193" t="s">
        <v>1034</v>
      </c>
      <c r="D303" s="210" t="s">
        <v>120</v>
      </c>
      <c r="E303" s="98">
        <v>1450</v>
      </c>
      <c r="F303" s="98"/>
      <c r="G303" s="98"/>
      <c r="H303" s="98"/>
      <c r="I303" s="98"/>
    </row>
    <row r="304" spans="2:14" ht="12.75" customHeight="1" x14ac:dyDescent="0.25">
      <c r="B304" s="209" t="s">
        <v>1035</v>
      </c>
      <c r="C304" s="193" t="s">
        <v>1036</v>
      </c>
      <c r="D304" s="210" t="s">
        <v>136</v>
      </c>
      <c r="E304" s="98">
        <f>237300/3</f>
        <v>79100</v>
      </c>
      <c r="F304" s="98"/>
      <c r="G304" s="98"/>
      <c r="H304" s="98"/>
      <c r="I304" s="98"/>
    </row>
    <row r="305" spans="2:12" ht="12.75" customHeight="1" x14ac:dyDescent="0.25">
      <c r="B305" s="209" t="s">
        <v>1037</v>
      </c>
      <c r="C305" s="193" t="s">
        <v>1038</v>
      </c>
      <c r="D305" s="210" t="s">
        <v>120</v>
      </c>
      <c r="E305" s="98">
        <v>58055</v>
      </c>
      <c r="F305" s="98"/>
      <c r="G305" s="98"/>
      <c r="H305" s="98"/>
      <c r="I305" s="98"/>
      <c r="K305" s="175"/>
      <c r="L305" s="175"/>
    </row>
    <row r="306" spans="2:12" ht="12.75" customHeight="1" x14ac:dyDescent="0.25">
      <c r="B306" s="209" t="s">
        <v>1039</v>
      </c>
      <c r="C306" s="193" t="s">
        <v>1040</v>
      </c>
      <c r="D306" s="210" t="s">
        <v>120</v>
      </c>
      <c r="E306" s="98">
        <v>25866</v>
      </c>
      <c r="F306" s="98"/>
      <c r="G306" s="98"/>
      <c r="H306" s="98"/>
      <c r="I306" s="98"/>
    </row>
    <row r="307" spans="2:12" ht="12.75" customHeight="1" x14ac:dyDescent="0.25">
      <c r="B307" s="209" t="s">
        <v>1041</v>
      </c>
      <c r="C307" s="193" t="s">
        <v>1042</v>
      </c>
      <c r="D307" s="210" t="s">
        <v>120</v>
      </c>
      <c r="E307" s="98">
        <v>20250</v>
      </c>
      <c r="F307" s="98"/>
      <c r="G307" s="98"/>
      <c r="H307" s="98"/>
      <c r="I307" s="98"/>
    </row>
    <row r="308" spans="2:12" ht="12.75" customHeight="1" x14ac:dyDescent="0.25">
      <c r="B308" s="96" t="s">
        <v>1043</v>
      </c>
      <c r="C308" s="106" t="s">
        <v>1044</v>
      </c>
      <c r="D308" s="107" t="s">
        <v>136</v>
      </c>
      <c r="E308" s="98">
        <f>23900/2</f>
        <v>11950</v>
      </c>
      <c r="F308" s="98"/>
      <c r="G308" s="98"/>
      <c r="H308" s="98"/>
      <c r="I308" s="98"/>
      <c r="J308" s="95">
        <f>(0.3*0.3*((3/8)*0.0254))*8000</f>
        <v>6.8579999999999988</v>
      </c>
    </row>
    <row r="309" spans="2:12" ht="12.75" customHeight="1" x14ac:dyDescent="0.25">
      <c r="B309" s="211" t="s">
        <v>1045</v>
      </c>
      <c r="C309" s="180" t="s">
        <v>1046</v>
      </c>
      <c r="D309" s="89" t="s">
        <v>136</v>
      </c>
      <c r="E309" s="98">
        <v>6550</v>
      </c>
      <c r="F309" s="98"/>
      <c r="G309" s="98"/>
      <c r="H309" s="98"/>
      <c r="I309" s="98"/>
    </row>
    <row r="310" spans="2:12" ht="12.75" customHeight="1" x14ac:dyDescent="0.25">
      <c r="B310" s="211" t="s">
        <v>1047</v>
      </c>
      <c r="C310" s="175" t="s">
        <v>1048</v>
      </c>
      <c r="D310" s="89" t="s">
        <v>160</v>
      </c>
      <c r="E310" s="175">
        <f>3500*1.19</f>
        <v>4165</v>
      </c>
      <c r="F310" s="175" t="s">
        <v>1049</v>
      </c>
      <c r="G310" s="175"/>
      <c r="H310" s="175"/>
      <c r="I310" s="175"/>
    </row>
    <row r="311" spans="2:12" ht="12.75" customHeight="1" x14ac:dyDescent="0.25">
      <c r="B311" s="95" t="s">
        <v>1076</v>
      </c>
      <c r="C311" s="95" t="s">
        <v>1075</v>
      </c>
      <c r="D311" s="89" t="s">
        <v>160</v>
      </c>
      <c r="E311" s="95">
        <v>14000</v>
      </c>
    </row>
    <row r="312" spans="2:12" ht="12.75" customHeight="1" x14ac:dyDescent="0.25">
      <c r="C312" s="175"/>
      <c r="D312" s="89"/>
    </row>
    <row r="313" spans="2:12" ht="12.75" customHeight="1" x14ac:dyDescent="0.25">
      <c r="C313" s="175"/>
      <c r="D313" s="89"/>
      <c r="E313" s="175"/>
      <c r="F313" s="175"/>
      <c r="G313" s="175"/>
      <c r="H313" s="175"/>
      <c r="I313" s="175"/>
      <c r="J313" s="175"/>
    </row>
    <row r="314" spans="2:12" ht="12.75" customHeight="1" x14ac:dyDescent="0.25">
      <c r="C314" s="175"/>
      <c r="D314" s="89"/>
      <c r="E314" s="175"/>
      <c r="F314" s="175"/>
      <c r="G314" s="175"/>
      <c r="H314" s="175"/>
      <c r="I314" s="175"/>
      <c r="J314" s="175"/>
    </row>
    <row r="315" spans="2:12" ht="12.75" customHeight="1" x14ac:dyDescent="0.25">
      <c r="C315" s="175"/>
      <c r="D315" s="89"/>
      <c r="E315" s="175"/>
      <c r="F315" s="175"/>
      <c r="G315" s="175"/>
      <c r="H315" s="175"/>
      <c r="I315" s="175"/>
      <c r="J315" s="175"/>
    </row>
    <row r="316" spans="2:12" ht="12.75" customHeight="1" x14ac:dyDescent="0.25">
      <c r="C316" s="175"/>
      <c r="D316" s="89"/>
      <c r="E316" s="175"/>
      <c r="F316" s="175"/>
      <c r="G316" s="175"/>
      <c r="H316" s="175"/>
      <c r="I316" s="175"/>
      <c r="J316" s="175"/>
    </row>
    <row r="317" spans="2:12" ht="12.75" customHeight="1" x14ac:dyDescent="0.25">
      <c r="D317" s="89"/>
    </row>
    <row r="318" spans="2:12" ht="12.75" customHeight="1" x14ac:dyDescent="0.25">
      <c r="C318" s="175"/>
      <c r="D318" s="89"/>
      <c r="E318" s="175"/>
      <c r="F318" s="175"/>
      <c r="G318" s="175"/>
      <c r="H318" s="175"/>
      <c r="I318" s="175"/>
    </row>
    <row r="319" spans="2:12" ht="12.75" customHeight="1" x14ac:dyDescent="0.25">
      <c r="D319" s="89"/>
    </row>
    <row r="320" spans="2:12" ht="12.75" customHeight="1" x14ac:dyDescent="0.25">
      <c r="C320" s="112"/>
      <c r="D320" s="89"/>
    </row>
    <row r="321" spans="3:4" ht="12.75" customHeight="1" x14ac:dyDescent="0.25">
      <c r="C321" s="112"/>
      <c r="D321" s="89"/>
    </row>
    <row r="322" spans="3:4" ht="12.75" customHeight="1" x14ac:dyDescent="0.25">
      <c r="D322" s="89"/>
    </row>
    <row r="323" spans="3:4" ht="12.75" customHeight="1" x14ac:dyDescent="0.25">
      <c r="D323" s="89"/>
    </row>
    <row r="324" spans="3:4" ht="12.75" customHeight="1" x14ac:dyDescent="0.25">
      <c r="D324" s="89"/>
    </row>
    <row r="325" spans="3:4" ht="12.75" customHeight="1" x14ac:dyDescent="0.25">
      <c r="C325" s="175"/>
      <c r="D325" s="89"/>
    </row>
    <row r="326" spans="3:4" ht="12.75" customHeight="1" x14ac:dyDescent="0.25">
      <c r="D326" s="89"/>
    </row>
    <row r="327" spans="3:4" ht="12.75" customHeight="1" x14ac:dyDescent="0.25">
      <c r="D327" s="89"/>
    </row>
    <row r="328" spans="3:4" ht="12.75" customHeight="1" x14ac:dyDescent="0.25">
      <c r="C328" s="175"/>
      <c r="D328" s="89"/>
    </row>
    <row r="329" spans="3:4" ht="12.75" customHeight="1" x14ac:dyDescent="0.25">
      <c r="C329" s="175"/>
      <c r="D329" s="89"/>
    </row>
    <row r="330" spans="3:4" ht="12.75" customHeight="1" x14ac:dyDescent="0.25">
      <c r="C330" s="175"/>
      <c r="D330" s="89"/>
    </row>
    <row r="331" spans="3:4" ht="12.75" customHeight="1" x14ac:dyDescent="0.25">
      <c r="C331" s="175"/>
      <c r="D331" s="89"/>
    </row>
    <row r="332" spans="3:4" ht="12.75" customHeight="1" x14ac:dyDescent="0.25">
      <c r="D332" s="89"/>
    </row>
    <row r="333" spans="3:4" ht="12.75" customHeight="1" x14ac:dyDescent="0.25">
      <c r="D333" s="89"/>
    </row>
    <row r="334" spans="3:4" ht="12.75" customHeight="1" x14ac:dyDescent="0.25">
      <c r="C334" s="175"/>
      <c r="D334" s="89"/>
    </row>
    <row r="335" spans="3:4" ht="12.75" customHeight="1" x14ac:dyDescent="0.25">
      <c r="C335" s="175"/>
      <c r="D335" s="89"/>
    </row>
    <row r="336" spans="3:4" ht="12.75" customHeight="1" x14ac:dyDescent="0.25">
      <c r="C336" s="175"/>
      <c r="D336" s="89"/>
    </row>
    <row r="337" spans="3:13" ht="12.75" customHeight="1" x14ac:dyDescent="0.25">
      <c r="C337" s="175"/>
      <c r="D337" s="89"/>
    </row>
    <row r="338" spans="3:13" ht="12.75" customHeight="1" x14ac:dyDescent="0.25">
      <c r="D338" s="89"/>
    </row>
    <row r="339" spans="3:13" ht="12.75" customHeight="1" x14ac:dyDescent="0.25">
      <c r="D339" s="89"/>
    </row>
    <row r="340" spans="3:13" ht="12.75" customHeight="1" x14ac:dyDescent="0.25">
      <c r="D340" s="89"/>
    </row>
    <row r="341" spans="3:13" ht="12.75" customHeight="1" x14ac:dyDescent="0.25">
      <c r="D341" s="89"/>
    </row>
    <row r="342" spans="3:13" ht="12.75" customHeight="1" x14ac:dyDescent="0.25">
      <c r="D342" s="89"/>
    </row>
    <row r="343" spans="3:13" ht="12.75" customHeight="1" x14ac:dyDescent="0.25">
      <c r="D343" s="89"/>
      <c r="K343" s="120"/>
      <c r="L343" s="212" t="s">
        <v>136</v>
      </c>
      <c r="M343" s="212">
        <v>112.5</v>
      </c>
    </row>
    <row r="344" spans="3:13" ht="12.75" customHeight="1" x14ac:dyDescent="0.25">
      <c r="D344" s="89"/>
      <c r="K344" s="120"/>
      <c r="L344" s="212"/>
      <c r="M344" s="212"/>
    </row>
    <row r="345" spans="3:13" ht="12.75" customHeight="1" x14ac:dyDescent="0.25">
      <c r="C345" s="213" t="s">
        <v>1050</v>
      </c>
      <c r="D345" s="119"/>
      <c r="E345" s="119"/>
      <c r="F345" s="119"/>
      <c r="G345" s="119"/>
      <c r="H345" s="119"/>
      <c r="I345" s="119"/>
      <c r="J345" s="119"/>
    </row>
    <row r="346" spans="3:13" ht="12.75" customHeight="1" x14ac:dyDescent="0.25">
      <c r="C346" s="213" t="s">
        <v>1051</v>
      </c>
      <c r="D346" s="119"/>
      <c r="E346" s="119"/>
      <c r="F346" s="119"/>
      <c r="G346" s="119"/>
      <c r="H346" s="119"/>
      <c r="I346" s="119"/>
      <c r="J346" s="119"/>
    </row>
    <row r="347" spans="3:13" ht="12.75" customHeight="1" x14ac:dyDescent="0.25">
      <c r="D347" s="89"/>
    </row>
    <row r="348" spans="3:13" ht="12.75" customHeight="1" x14ac:dyDescent="0.25">
      <c r="D348" s="89"/>
    </row>
    <row r="349" spans="3:13" ht="12.75" customHeight="1" x14ac:dyDescent="0.25">
      <c r="D349" s="89"/>
    </row>
    <row r="350" spans="3:13" ht="12.75" customHeight="1" x14ac:dyDescent="0.25">
      <c r="D350" s="89"/>
    </row>
    <row r="351" spans="3:13" ht="12.75" customHeight="1" x14ac:dyDescent="0.25">
      <c r="D351" s="89"/>
    </row>
    <row r="352" spans="3:13" ht="12.75" customHeight="1" x14ac:dyDescent="0.25">
      <c r="D352" s="89"/>
    </row>
    <row r="353" spans="4:4" ht="12.75" customHeight="1" x14ac:dyDescent="0.25">
      <c r="D353" s="89"/>
    </row>
    <row r="354" spans="4:4" ht="12.75" customHeight="1" x14ac:dyDescent="0.25">
      <c r="D354" s="89"/>
    </row>
    <row r="355" spans="4:4" ht="12.75" customHeight="1" x14ac:dyDescent="0.25">
      <c r="D355" s="89"/>
    </row>
    <row r="356" spans="4:4" ht="12.75" customHeight="1" x14ac:dyDescent="0.25">
      <c r="D356" s="89"/>
    </row>
    <row r="357" spans="4:4" ht="12.75" customHeight="1" x14ac:dyDescent="0.25">
      <c r="D357" s="89"/>
    </row>
    <row r="358" spans="4:4" ht="12.75" customHeight="1" x14ac:dyDescent="0.25">
      <c r="D358" s="89"/>
    </row>
    <row r="359" spans="4:4" ht="12.75" customHeight="1" x14ac:dyDescent="0.25">
      <c r="D359" s="89"/>
    </row>
    <row r="360" spans="4:4" ht="12.75" customHeight="1" x14ac:dyDescent="0.25">
      <c r="D360" s="89"/>
    </row>
    <row r="361" spans="4:4" ht="12.75" customHeight="1" x14ac:dyDescent="0.25">
      <c r="D361" s="89"/>
    </row>
    <row r="362" spans="4:4" ht="12.75" customHeight="1" x14ac:dyDescent="0.25">
      <c r="D362" s="89"/>
    </row>
    <row r="363" spans="4:4" ht="12.75" customHeight="1" x14ac:dyDescent="0.25">
      <c r="D363" s="89"/>
    </row>
    <row r="364" spans="4:4" ht="12.75" customHeight="1" x14ac:dyDescent="0.25">
      <c r="D364" s="89"/>
    </row>
    <row r="365" spans="4:4" ht="12.75" customHeight="1" x14ac:dyDescent="0.25">
      <c r="D365" s="89"/>
    </row>
    <row r="366" spans="4:4" ht="12.75" customHeight="1" x14ac:dyDescent="0.25">
      <c r="D366" s="89"/>
    </row>
    <row r="367" spans="4:4" ht="12.75" customHeight="1" x14ac:dyDescent="0.25">
      <c r="D367" s="89"/>
    </row>
    <row r="368" spans="4:4" ht="12.75" customHeight="1" x14ac:dyDescent="0.25">
      <c r="D368" s="89"/>
    </row>
    <row r="369" spans="4:4" ht="12.75" customHeight="1" x14ac:dyDescent="0.25">
      <c r="D369" s="89"/>
    </row>
    <row r="370" spans="4:4" ht="12.75" customHeight="1" x14ac:dyDescent="0.25">
      <c r="D370" s="89"/>
    </row>
    <row r="371" spans="4:4" ht="12.75" customHeight="1" x14ac:dyDescent="0.25">
      <c r="D371" s="89"/>
    </row>
    <row r="372" spans="4:4" ht="12.75" customHeight="1" x14ac:dyDescent="0.25">
      <c r="D372" s="89"/>
    </row>
    <row r="373" spans="4:4" ht="12.75" customHeight="1" x14ac:dyDescent="0.25">
      <c r="D373" s="89"/>
    </row>
    <row r="374" spans="4:4" ht="12.75" customHeight="1" x14ac:dyDescent="0.25">
      <c r="D374" s="89"/>
    </row>
    <row r="375" spans="4:4" ht="12.75" customHeight="1" x14ac:dyDescent="0.25">
      <c r="D375" s="89"/>
    </row>
    <row r="376" spans="4:4" ht="12.75" customHeight="1" x14ac:dyDescent="0.25">
      <c r="D376" s="89"/>
    </row>
    <row r="377" spans="4:4" ht="12.75" customHeight="1" x14ac:dyDescent="0.25">
      <c r="D377" s="89"/>
    </row>
    <row r="378" spans="4:4" ht="12.75" customHeight="1" x14ac:dyDescent="0.25">
      <c r="D378" s="89"/>
    </row>
    <row r="379" spans="4:4" ht="12.75" customHeight="1" x14ac:dyDescent="0.25">
      <c r="D379" s="89"/>
    </row>
    <row r="380" spans="4:4" ht="12.75" customHeight="1" x14ac:dyDescent="0.25">
      <c r="D380" s="89"/>
    </row>
    <row r="381" spans="4:4" ht="12.75" customHeight="1" x14ac:dyDescent="0.25">
      <c r="D381" s="89"/>
    </row>
    <row r="382" spans="4:4" ht="12.75" customHeight="1" x14ac:dyDescent="0.25">
      <c r="D382" s="89"/>
    </row>
    <row r="383" spans="4:4" ht="12.75" customHeight="1" x14ac:dyDescent="0.25">
      <c r="D383" s="89"/>
    </row>
    <row r="384" spans="4:4" ht="12.75" customHeight="1" x14ac:dyDescent="0.25">
      <c r="D384" s="89"/>
    </row>
    <row r="385" spans="4:4" ht="12.75" customHeight="1" x14ac:dyDescent="0.25">
      <c r="D385" s="89"/>
    </row>
    <row r="386" spans="4:4" ht="12.75" customHeight="1" x14ac:dyDescent="0.25">
      <c r="D386" s="89"/>
    </row>
    <row r="387" spans="4:4" ht="12.75" customHeight="1" x14ac:dyDescent="0.25">
      <c r="D387" s="89"/>
    </row>
    <row r="388" spans="4:4" ht="12.75" customHeight="1" x14ac:dyDescent="0.25">
      <c r="D388" s="89"/>
    </row>
    <row r="389" spans="4:4" ht="12.75" customHeight="1" x14ac:dyDescent="0.25">
      <c r="D389" s="89"/>
    </row>
    <row r="390" spans="4:4" ht="12.75" customHeight="1" x14ac:dyDescent="0.25">
      <c r="D390" s="89"/>
    </row>
    <row r="391" spans="4:4" ht="12.75" customHeight="1" x14ac:dyDescent="0.25">
      <c r="D391" s="89"/>
    </row>
    <row r="392" spans="4:4" ht="12.75" customHeight="1" x14ac:dyDescent="0.25">
      <c r="D392" s="89"/>
    </row>
    <row r="393" spans="4:4" ht="12.75" customHeight="1" x14ac:dyDescent="0.25">
      <c r="D393" s="89"/>
    </row>
    <row r="394" spans="4:4" ht="12.75" customHeight="1" x14ac:dyDescent="0.25">
      <c r="D394" s="89"/>
    </row>
    <row r="395" spans="4:4" ht="12.75" customHeight="1" x14ac:dyDescent="0.25">
      <c r="D395" s="89"/>
    </row>
    <row r="396" spans="4:4" ht="12.75" customHeight="1" x14ac:dyDescent="0.25">
      <c r="D396" s="89"/>
    </row>
    <row r="397" spans="4:4" ht="12.75" customHeight="1" x14ac:dyDescent="0.25">
      <c r="D397" s="89"/>
    </row>
    <row r="398" spans="4:4" ht="12.75" customHeight="1" x14ac:dyDescent="0.25">
      <c r="D398" s="89"/>
    </row>
    <row r="399" spans="4:4" ht="12.75" customHeight="1" x14ac:dyDescent="0.25">
      <c r="D399" s="89"/>
    </row>
    <row r="400" spans="4:4" ht="12.75" customHeight="1" x14ac:dyDescent="0.25">
      <c r="D400" s="89"/>
    </row>
    <row r="401" spans="4:4" ht="12.75" customHeight="1" x14ac:dyDescent="0.25">
      <c r="D401" s="89"/>
    </row>
    <row r="402" spans="4:4" ht="12.75" customHeight="1" x14ac:dyDescent="0.25">
      <c r="D402" s="89"/>
    </row>
    <row r="403" spans="4:4" ht="12.75" customHeight="1" x14ac:dyDescent="0.25">
      <c r="D403" s="89"/>
    </row>
    <row r="404" spans="4:4" ht="12.75" customHeight="1" x14ac:dyDescent="0.25">
      <c r="D404" s="89"/>
    </row>
    <row r="405" spans="4:4" ht="12.75" customHeight="1" x14ac:dyDescent="0.25">
      <c r="D405" s="89"/>
    </row>
    <row r="406" spans="4:4" ht="12.75" customHeight="1" x14ac:dyDescent="0.25">
      <c r="D406" s="89"/>
    </row>
    <row r="407" spans="4:4" ht="12.75" customHeight="1" x14ac:dyDescent="0.25">
      <c r="D407" s="89"/>
    </row>
    <row r="408" spans="4:4" ht="12.75" customHeight="1" x14ac:dyDescent="0.25">
      <c r="D408" s="89"/>
    </row>
    <row r="409" spans="4:4" ht="12.75" customHeight="1" x14ac:dyDescent="0.25">
      <c r="D409" s="89"/>
    </row>
    <row r="410" spans="4:4" ht="12.75" customHeight="1" x14ac:dyDescent="0.25">
      <c r="D410" s="89"/>
    </row>
    <row r="411" spans="4:4" ht="12.75" customHeight="1" x14ac:dyDescent="0.25">
      <c r="D411" s="89"/>
    </row>
    <row r="412" spans="4:4" ht="12.75" customHeight="1" x14ac:dyDescent="0.25">
      <c r="D412" s="89"/>
    </row>
    <row r="413" spans="4:4" ht="12.75" customHeight="1" x14ac:dyDescent="0.25">
      <c r="D413" s="89"/>
    </row>
    <row r="414" spans="4:4" ht="12.75" customHeight="1" x14ac:dyDescent="0.25">
      <c r="D414" s="89"/>
    </row>
    <row r="415" spans="4:4" ht="12.75" customHeight="1" x14ac:dyDescent="0.25">
      <c r="D415" s="89"/>
    </row>
    <row r="416" spans="4:4" ht="12.75" customHeight="1" x14ac:dyDescent="0.25">
      <c r="D416" s="89"/>
    </row>
    <row r="417" spans="4:4" ht="12.75" customHeight="1" x14ac:dyDescent="0.25">
      <c r="D417" s="89"/>
    </row>
    <row r="418" spans="4:4" ht="12.75" customHeight="1" x14ac:dyDescent="0.25">
      <c r="D418" s="89"/>
    </row>
    <row r="419" spans="4:4" ht="12.75" customHeight="1" x14ac:dyDescent="0.25">
      <c r="D419" s="89"/>
    </row>
    <row r="420" spans="4:4" ht="12.75" customHeight="1" x14ac:dyDescent="0.25">
      <c r="D420" s="89"/>
    </row>
    <row r="421" spans="4:4" ht="12.75" customHeight="1" x14ac:dyDescent="0.25">
      <c r="D421" s="89"/>
    </row>
    <row r="422" spans="4:4" ht="12.75" customHeight="1" x14ac:dyDescent="0.25">
      <c r="D422" s="89"/>
    </row>
    <row r="423" spans="4:4" ht="12.75" customHeight="1" x14ac:dyDescent="0.25">
      <c r="D423" s="89"/>
    </row>
    <row r="424" spans="4:4" ht="12.75" customHeight="1" x14ac:dyDescent="0.25">
      <c r="D424" s="89"/>
    </row>
    <row r="425" spans="4:4" ht="12.75" customHeight="1" x14ac:dyDescent="0.25">
      <c r="D425" s="89"/>
    </row>
    <row r="426" spans="4:4" ht="12.75" customHeight="1" x14ac:dyDescent="0.25">
      <c r="D426" s="89"/>
    </row>
    <row r="427" spans="4:4" ht="12.75" customHeight="1" x14ac:dyDescent="0.25">
      <c r="D427" s="89"/>
    </row>
    <row r="428" spans="4:4" ht="12.75" customHeight="1" x14ac:dyDescent="0.25">
      <c r="D428" s="89"/>
    </row>
    <row r="429" spans="4:4" ht="12.75" customHeight="1" x14ac:dyDescent="0.25">
      <c r="D429" s="89"/>
    </row>
    <row r="430" spans="4:4" ht="12.75" customHeight="1" x14ac:dyDescent="0.25">
      <c r="D430" s="89"/>
    </row>
    <row r="431" spans="4:4" ht="12.75" customHeight="1" x14ac:dyDescent="0.25">
      <c r="D431" s="89"/>
    </row>
    <row r="432" spans="4:4" ht="12.75" customHeight="1" x14ac:dyDescent="0.25">
      <c r="D432" s="89"/>
    </row>
    <row r="433" spans="4:4" ht="12.75" customHeight="1" x14ac:dyDescent="0.25">
      <c r="D433" s="89"/>
    </row>
    <row r="434" spans="4:4" ht="12.75" customHeight="1" x14ac:dyDescent="0.25">
      <c r="D434" s="89"/>
    </row>
    <row r="435" spans="4:4" ht="12.75" customHeight="1" x14ac:dyDescent="0.25">
      <c r="D435" s="89"/>
    </row>
    <row r="436" spans="4:4" ht="12.75" customHeight="1" x14ac:dyDescent="0.25">
      <c r="D436" s="89"/>
    </row>
    <row r="437" spans="4:4" ht="12.75" customHeight="1" x14ac:dyDescent="0.25">
      <c r="D437" s="89"/>
    </row>
    <row r="438" spans="4:4" ht="12.75" customHeight="1" x14ac:dyDescent="0.25">
      <c r="D438" s="89"/>
    </row>
    <row r="439" spans="4:4" ht="12.75" customHeight="1" x14ac:dyDescent="0.25">
      <c r="D439" s="89"/>
    </row>
    <row r="440" spans="4:4" ht="12.75" customHeight="1" x14ac:dyDescent="0.25">
      <c r="D440" s="89"/>
    </row>
    <row r="441" spans="4:4" ht="12.75" customHeight="1" x14ac:dyDescent="0.25">
      <c r="D441" s="89"/>
    </row>
    <row r="442" spans="4:4" ht="12.75" customHeight="1" x14ac:dyDescent="0.25">
      <c r="D442" s="89"/>
    </row>
    <row r="443" spans="4:4" ht="12.75" customHeight="1" x14ac:dyDescent="0.25">
      <c r="D443" s="89"/>
    </row>
    <row r="444" spans="4:4" ht="12.75" customHeight="1" x14ac:dyDescent="0.25">
      <c r="D444" s="89"/>
    </row>
    <row r="445" spans="4:4" ht="12.75" customHeight="1" x14ac:dyDescent="0.25">
      <c r="D445" s="89"/>
    </row>
    <row r="446" spans="4:4" ht="12.75" customHeight="1" x14ac:dyDescent="0.25">
      <c r="D446" s="89"/>
    </row>
    <row r="447" spans="4:4" ht="12.75" customHeight="1" x14ac:dyDescent="0.25">
      <c r="D447" s="89"/>
    </row>
    <row r="448" spans="4:4" ht="12.75" customHeight="1" x14ac:dyDescent="0.25">
      <c r="D448" s="89"/>
    </row>
    <row r="449" spans="4:4" ht="12.75" customHeight="1" x14ac:dyDescent="0.25">
      <c r="D449" s="89"/>
    </row>
    <row r="450" spans="4:4" ht="12.75" customHeight="1" x14ac:dyDescent="0.25">
      <c r="D450" s="89"/>
    </row>
    <row r="451" spans="4:4" ht="12.75" customHeight="1" x14ac:dyDescent="0.25">
      <c r="D451" s="89"/>
    </row>
    <row r="452" spans="4:4" ht="12.75" customHeight="1" x14ac:dyDescent="0.25">
      <c r="D452" s="89"/>
    </row>
    <row r="453" spans="4:4" ht="12.75" customHeight="1" x14ac:dyDescent="0.25">
      <c r="D453" s="89"/>
    </row>
    <row r="454" spans="4:4" ht="12.75" customHeight="1" x14ac:dyDescent="0.25">
      <c r="D454" s="89"/>
    </row>
    <row r="455" spans="4:4" ht="12.75" customHeight="1" x14ac:dyDescent="0.25">
      <c r="D455" s="89"/>
    </row>
    <row r="456" spans="4:4" ht="12.75" customHeight="1" x14ac:dyDescent="0.25">
      <c r="D456" s="89"/>
    </row>
    <row r="457" spans="4:4" ht="12.75" customHeight="1" x14ac:dyDescent="0.25">
      <c r="D457" s="89"/>
    </row>
    <row r="458" spans="4:4" ht="12.75" customHeight="1" x14ac:dyDescent="0.25">
      <c r="D458" s="89"/>
    </row>
    <row r="459" spans="4:4" ht="12.75" customHeight="1" x14ac:dyDescent="0.25">
      <c r="D459" s="89"/>
    </row>
    <row r="460" spans="4:4" ht="12.75" customHeight="1" x14ac:dyDescent="0.25">
      <c r="D460" s="89"/>
    </row>
    <row r="461" spans="4:4" ht="12.75" customHeight="1" x14ac:dyDescent="0.25">
      <c r="D461" s="89"/>
    </row>
    <row r="462" spans="4:4" ht="12.75" customHeight="1" x14ac:dyDescent="0.25">
      <c r="D462" s="89"/>
    </row>
    <row r="463" spans="4:4" ht="12.75" customHeight="1" x14ac:dyDescent="0.25">
      <c r="D463" s="89"/>
    </row>
    <row r="464" spans="4:4" ht="12.75" customHeight="1" x14ac:dyDescent="0.25">
      <c r="D464" s="89"/>
    </row>
    <row r="465" spans="4:4" ht="12.75" customHeight="1" x14ac:dyDescent="0.25">
      <c r="D465" s="89"/>
    </row>
    <row r="466" spans="4:4" ht="12.75" customHeight="1" x14ac:dyDescent="0.25">
      <c r="D466" s="89"/>
    </row>
    <row r="467" spans="4:4" ht="12.75" customHeight="1" x14ac:dyDescent="0.25">
      <c r="D467" s="89"/>
    </row>
    <row r="468" spans="4:4" ht="12.75" customHeight="1" x14ac:dyDescent="0.25">
      <c r="D468" s="89"/>
    </row>
    <row r="469" spans="4:4" ht="12.75" customHeight="1" x14ac:dyDescent="0.25">
      <c r="D469" s="89"/>
    </row>
    <row r="470" spans="4:4" ht="12.75" customHeight="1" x14ac:dyDescent="0.25">
      <c r="D470" s="89"/>
    </row>
    <row r="471" spans="4:4" ht="12.75" customHeight="1" x14ac:dyDescent="0.25">
      <c r="D471" s="89"/>
    </row>
    <row r="472" spans="4:4" ht="12.75" customHeight="1" x14ac:dyDescent="0.25">
      <c r="D472" s="89"/>
    </row>
    <row r="473" spans="4:4" ht="12.75" customHeight="1" x14ac:dyDescent="0.25">
      <c r="D473" s="89"/>
    </row>
    <row r="474" spans="4:4" ht="12.75" customHeight="1" x14ac:dyDescent="0.25">
      <c r="D474" s="89"/>
    </row>
    <row r="475" spans="4:4" ht="12.75" customHeight="1" x14ac:dyDescent="0.25">
      <c r="D475" s="89"/>
    </row>
    <row r="476" spans="4:4" ht="12.75" customHeight="1" x14ac:dyDescent="0.25">
      <c r="D476" s="89"/>
    </row>
    <row r="477" spans="4:4" ht="12.75" customHeight="1" x14ac:dyDescent="0.25">
      <c r="D477" s="89"/>
    </row>
    <row r="478" spans="4:4" ht="12.75" customHeight="1" x14ac:dyDescent="0.25">
      <c r="D478" s="89"/>
    </row>
    <row r="479" spans="4:4" ht="12.75" customHeight="1" x14ac:dyDescent="0.25">
      <c r="D479" s="89"/>
    </row>
    <row r="480" spans="4:4" ht="12.75" customHeight="1" x14ac:dyDescent="0.25">
      <c r="D480" s="89"/>
    </row>
    <row r="481" spans="4:4" ht="12.75" customHeight="1" x14ac:dyDescent="0.25">
      <c r="D481" s="89"/>
    </row>
    <row r="482" spans="4:4" ht="12.75" customHeight="1" x14ac:dyDescent="0.25">
      <c r="D482" s="89"/>
    </row>
    <row r="483" spans="4:4" ht="12.75" customHeight="1" x14ac:dyDescent="0.25">
      <c r="D483" s="89"/>
    </row>
    <row r="484" spans="4:4" ht="12.75" customHeight="1" x14ac:dyDescent="0.25">
      <c r="D484" s="89"/>
    </row>
    <row r="485" spans="4:4" ht="12.75" customHeight="1" x14ac:dyDescent="0.25">
      <c r="D485" s="89"/>
    </row>
    <row r="486" spans="4:4" ht="12.75" customHeight="1" x14ac:dyDescent="0.25">
      <c r="D486" s="89"/>
    </row>
    <row r="487" spans="4:4" ht="12.75" customHeight="1" x14ac:dyDescent="0.25">
      <c r="D487" s="89"/>
    </row>
    <row r="488" spans="4:4" ht="12.75" customHeight="1" x14ac:dyDescent="0.25">
      <c r="D488" s="89"/>
    </row>
    <row r="489" spans="4:4" ht="12.75" customHeight="1" x14ac:dyDescent="0.25">
      <c r="D489" s="89"/>
    </row>
    <row r="490" spans="4:4" ht="12.75" customHeight="1" x14ac:dyDescent="0.25">
      <c r="D490" s="89"/>
    </row>
    <row r="491" spans="4:4" ht="12.75" customHeight="1" x14ac:dyDescent="0.25">
      <c r="D491" s="89"/>
    </row>
    <row r="492" spans="4:4" ht="12.75" customHeight="1" x14ac:dyDescent="0.25">
      <c r="D492" s="89"/>
    </row>
    <row r="493" spans="4:4" ht="12.75" customHeight="1" x14ac:dyDescent="0.25">
      <c r="D493" s="89"/>
    </row>
    <row r="494" spans="4:4" ht="12.75" customHeight="1" x14ac:dyDescent="0.25">
      <c r="D494" s="89"/>
    </row>
    <row r="495" spans="4:4" ht="12.75" customHeight="1" x14ac:dyDescent="0.25">
      <c r="D495" s="89"/>
    </row>
    <row r="496" spans="4:4" ht="12.75" customHeight="1" x14ac:dyDescent="0.25">
      <c r="D496" s="89"/>
    </row>
    <row r="497" spans="4:4" ht="12.75" customHeight="1" x14ac:dyDescent="0.25">
      <c r="D497" s="89"/>
    </row>
    <row r="498" spans="4:4" ht="12.75" customHeight="1" x14ac:dyDescent="0.25">
      <c r="D498" s="89"/>
    </row>
    <row r="499" spans="4:4" ht="12.75" customHeight="1" x14ac:dyDescent="0.25">
      <c r="D499" s="89"/>
    </row>
    <row r="500" spans="4:4" ht="12.75" customHeight="1" x14ac:dyDescent="0.25">
      <c r="D500" s="89"/>
    </row>
    <row r="501" spans="4:4" ht="12.75" customHeight="1" x14ac:dyDescent="0.25">
      <c r="D501" s="89"/>
    </row>
    <row r="502" spans="4:4" ht="12.75" customHeight="1" x14ac:dyDescent="0.25">
      <c r="D502" s="89"/>
    </row>
    <row r="503" spans="4:4" ht="12.75" customHeight="1" x14ac:dyDescent="0.25">
      <c r="D503" s="89"/>
    </row>
    <row r="504" spans="4:4" ht="12.75" customHeight="1" x14ac:dyDescent="0.25">
      <c r="D504" s="89"/>
    </row>
    <row r="505" spans="4:4" ht="12.75" customHeight="1" x14ac:dyDescent="0.25">
      <c r="D505" s="89"/>
    </row>
    <row r="506" spans="4:4" ht="12.75" customHeight="1" x14ac:dyDescent="0.25">
      <c r="D506" s="89"/>
    </row>
    <row r="507" spans="4:4" ht="12.75" customHeight="1" x14ac:dyDescent="0.25">
      <c r="D507" s="89"/>
    </row>
    <row r="508" spans="4:4" ht="12.75" customHeight="1" x14ac:dyDescent="0.25">
      <c r="D508" s="89"/>
    </row>
    <row r="509" spans="4:4" ht="12.75" customHeight="1" x14ac:dyDescent="0.25">
      <c r="D509" s="89"/>
    </row>
    <row r="510" spans="4:4" ht="12.75" customHeight="1" x14ac:dyDescent="0.25">
      <c r="D510" s="89"/>
    </row>
    <row r="511" spans="4:4" ht="12.75" customHeight="1" x14ac:dyDescent="0.25">
      <c r="D511" s="89"/>
    </row>
    <row r="512" spans="4:4" ht="12.75" customHeight="1" x14ac:dyDescent="0.25">
      <c r="D512" s="89"/>
    </row>
    <row r="513" spans="4:4" ht="12.75" customHeight="1" x14ac:dyDescent="0.25">
      <c r="D513" s="89"/>
    </row>
    <row r="514" spans="4:4" ht="12.75" customHeight="1" x14ac:dyDescent="0.25">
      <c r="D514" s="89"/>
    </row>
    <row r="515" spans="4:4" ht="12.75" customHeight="1" x14ac:dyDescent="0.25">
      <c r="D515" s="89"/>
    </row>
    <row r="516" spans="4:4" ht="12.75" customHeight="1" x14ac:dyDescent="0.25">
      <c r="D516" s="89"/>
    </row>
    <row r="517" spans="4:4" ht="12.75" customHeight="1" x14ac:dyDescent="0.25">
      <c r="D517" s="89"/>
    </row>
    <row r="518" spans="4:4" ht="12.75" customHeight="1" x14ac:dyDescent="0.25">
      <c r="D518" s="89"/>
    </row>
    <row r="519" spans="4:4" ht="12.75" customHeight="1" x14ac:dyDescent="0.25">
      <c r="D519" s="89"/>
    </row>
    <row r="520" spans="4:4" ht="12.75" customHeight="1" x14ac:dyDescent="0.25">
      <c r="D520" s="89"/>
    </row>
    <row r="521" spans="4:4" ht="12.75" customHeight="1" x14ac:dyDescent="0.25">
      <c r="D521" s="89"/>
    </row>
    <row r="522" spans="4:4" ht="12.75" customHeight="1" x14ac:dyDescent="0.25">
      <c r="D522" s="89"/>
    </row>
    <row r="523" spans="4:4" ht="12.75" customHeight="1" x14ac:dyDescent="0.25">
      <c r="D523" s="89"/>
    </row>
    <row r="524" spans="4:4" ht="12.75" customHeight="1" x14ac:dyDescent="0.25">
      <c r="D524" s="89"/>
    </row>
    <row r="525" spans="4:4" ht="12.75" customHeight="1" x14ac:dyDescent="0.25">
      <c r="D525" s="89"/>
    </row>
    <row r="526" spans="4:4" ht="12.75" customHeight="1" x14ac:dyDescent="0.25">
      <c r="D526" s="89"/>
    </row>
    <row r="527" spans="4:4" ht="12.75" customHeight="1" x14ac:dyDescent="0.25">
      <c r="D527" s="89"/>
    </row>
    <row r="528" spans="4:4" ht="12.75" customHeight="1" x14ac:dyDescent="0.25">
      <c r="D528" s="89"/>
    </row>
    <row r="529" spans="4:4" ht="12.75" customHeight="1" x14ac:dyDescent="0.25">
      <c r="D529" s="89"/>
    </row>
    <row r="530" spans="4:4" ht="12.75" customHeight="1" x14ac:dyDescent="0.25">
      <c r="D530" s="89"/>
    </row>
    <row r="531" spans="4:4" ht="12.75" customHeight="1" x14ac:dyDescent="0.25">
      <c r="D531" s="89"/>
    </row>
    <row r="532" spans="4:4" ht="12.75" customHeight="1" x14ac:dyDescent="0.25">
      <c r="D532" s="89"/>
    </row>
    <row r="533" spans="4:4" ht="12.75" customHeight="1" x14ac:dyDescent="0.25">
      <c r="D533" s="89"/>
    </row>
    <row r="534" spans="4:4" ht="12.75" customHeight="1" x14ac:dyDescent="0.25">
      <c r="D534" s="89"/>
    </row>
    <row r="535" spans="4:4" ht="12.75" customHeight="1" x14ac:dyDescent="0.25">
      <c r="D535" s="89"/>
    </row>
    <row r="536" spans="4:4" ht="12.75" customHeight="1" x14ac:dyDescent="0.25">
      <c r="D536" s="89"/>
    </row>
    <row r="537" spans="4:4" ht="12.75" customHeight="1" x14ac:dyDescent="0.25">
      <c r="D537" s="89"/>
    </row>
    <row r="538" spans="4:4" ht="12.75" customHeight="1" x14ac:dyDescent="0.25">
      <c r="D538" s="89"/>
    </row>
    <row r="539" spans="4:4" ht="12.75" customHeight="1" x14ac:dyDescent="0.25">
      <c r="D539" s="89"/>
    </row>
    <row r="540" spans="4:4" ht="12.75" customHeight="1" x14ac:dyDescent="0.25">
      <c r="D540" s="89"/>
    </row>
    <row r="541" spans="4:4" ht="12.75" customHeight="1" x14ac:dyDescent="0.25">
      <c r="D541" s="89"/>
    </row>
    <row r="542" spans="4:4" ht="12.75" customHeight="1" x14ac:dyDescent="0.25">
      <c r="D542" s="89"/>
    </row>
    <row r="543" spans="4:4" ht="12.75" customHeight="1" x14ac:dyDescent="0.25">
      <c r="D543" s="89"/>
    </row>
    <row r="544" spans="4:4" ht="12.75" customHeight="1" x14ac:dyDescent="0.25">
      <c r="D544" s="89"/>
    </row>
    <row r="545" spans="4:4" ht="12.75" customHeight="1" x14ac:dyDescent="0.25">
      <c r="D545" s="89"/>
    </row>
    <row r="546" spans="4:4" ht="12.75" customHeight="1" x14ac:dyDescent="0.25">
      <c r="D546" s="89"/>
    </row>
    <row r="547" spans="4:4" ht="12.75" customHeight="1" x14ac:dyDescent="0.25">
      <c r="D547" s="89"/>
    </row>
    <row r="548" spans="4:4" ht="12.75" customHeight="1" x14ac:dyDescent="0.25">
      <c r="D548" s="89"/>
    </row>
    <row r="549" spans="4:4" ht="12.75" customHeight="1" x14ac:dyDescent="0.25">
      <c r="D549" s="89"/>
    </row>
    <row r="550" spans="4:4" ht="12.75" customHeight="1" x14ac:dyDescent="0.25">
      <c r="D550" s="89"/>
    </row>
    <row r="551" spans="4:4" ht="12.75" customHeight="1" x14ac:dyDescent="0.25">
      <c r="D551" s="89"/>
    </row>
    <row r="552" spans="4:4" ht="12.75" customHeight="1" x14ac:dyDescent="0.25">
      <c r="D552" s="89"/>
    </row>
    <row r="553" spans="4:4" ht="12.75" customHeight="1" x14ac:dyDescent="0.25">
      <c r="D553" s="89"/>
    </row>
    <row r="554" spans="4:4" ht="12.75" customHeight="1" x14ac:dyDescent="0.25">
      <c r="D554" s="89"/>
    </row>
    <row r="555" spans="4:4" ht="12.75" customHeight="1" x14ac:dyDescent="0.25">
      <c r="D555" s="89"/>
    </row>
    <row r="556" spans="4:4" ht="12.75" customHeight="1" x14ac:dyDescent="0.25">
      <c r="D556" s="89"/>
    </row>
    <row r="557" spans="4:4" ht="12.75" customHeight="1" x14ac:dyDescent="0.25">
      <c r="D557" s="89"/>
    </row>
    <row r="558" spans="4:4" ht="12.75" customHeight="1" x14ac:dyDescent="0.25">
      <c r="D558" s="89"/>
    </row>
    <row r="559" spans="4:4" ht="12.75" customHeight="1" x14ac:dyDescent="0.25">
      <c r="D559" s="89"/>
    </row>
    <row r="560" spans="4:4" ht="12.75" customHeight="1" x14ac:dyDescent="0.25">
      <c r="D560" s="89"/>
    </row>
    <row r="561" spans="4:4" ht="12.75" customHeight="1" x14ac:dyDescent="0.25">
      <c r="D561" s="89"/>
    </row>
    <row r="562" spans="4:4" ht="12.75" customHeight="1" x14ac:dyDescent="0.25">
      <c r="D562" s="89"/>
    </row>
    <row r="563" spans="4:4" ht="12.75" customHeight="1" x14ac:dyDescent="0.25">
      <c r="D563" s="89"/>
    </row>
    <row r="564" spans="4:4" ht="12.75" customHeight="1" x14ac:dyDescent="0.25">
      <c r="D564" s="89"/>
    </row>
    <row r="565" spans="4:4" ht="12.75" customHeight="1" x14ac:dyDescent="0.25">
      <c r="D565" s="89"/>
    </row>
    <row r="566" spans="4:4" ht="12.75" customHeight="1" x14ac:dyDescent="0.25">
      <c r="D566" s="89"/>
    </row>
    <row r="567" spans="4:4" ht="12.75" customHeight="1" x14ac:dyDescent="0.25">
      <c r="D567" s="89"/>
    </row>
    <row r="568" spans="4:4" ht="12.75" customHeight="1" x14ac:dyDescent="0.25">
      <c r="D568" s="89"/>
    </row>
    <row r="569" spans="4:4" ht="12.75" customHeight="1" x14ac:dyDescent="0.25">
      <c r="D569" s="89"/>
    </row>
    <row r="570" spans="4:4" ht="12.75" customHeight="1" x14ac:dyDescent="0.25">
      <c r="D570" s="89"/>
    </row>
    <row r="571" spans="4:4" ht="12.75" customHeight="1" x14ac:dyDescent="0.25">
      <c r="D571" s="89"/>
    </row>
    <row r="572" spans="4:4" ht="12.75" customHeight="1" x14ac:dyDescent="0.25">
      <c r="D572" s="89"/>
    </row>
    <row r="573" spans="4:4" ht="12.75" customHeight="1" x14ac:dyDescent="0.25">
      <c r="D573" s="89"/>
    </row>
    <row r="574" spans="4:4" ht="12.75" customHeight="1" x14ac:dyDescent="0.25">
      <c r="D574" s="89"/>
    </row>
    <row r="575" spans="4:4" ht="12.75" customHeight="1" x14ac:dyDescent="0.25">
      <c r="D575" s="89"/>
    </row>
    <row r="576" spans="4:4" ht="12.75" customHeight="1" x14ac:dyDescent="0.25">
      <c r="D576" s="89"/>
    </row>
    <row r="577" spans="4:4" ht="12.75" customHeight="1" x14ac:dyDescent="0.25">
      <c r="D577" s="89"/>
    </row>
    <row r="578" spans="4:4" ht="12.75" customHeight="1" x14ac:dyDescent="0.25">
      <c r="D578" s="89"/>
    </row>
    <row r="579" spans="4:4" ht="12.75" customHeight="1" x14ac:dyDescent="0.25">
      <c r="D579" s="89"/>
    </row>
    <row r="580" spans="4:4" ht="12.75" customHeight="1" x14ac:dyDescent="0.25">
      <c r="D580" s="89"/>
    </row>
    <row r="581" spans="4:4" ht="12.75" customHeight="1" x14ac:dyDescent="0.25">
      <c r="D581" s="89"/>
    </row>
    <row r="582" spans="4:4" ht="12.75" customHeight="1" x14ac:dyDescent="0.25">
      <c r="D582" s="89"/>
    </row>
    <row r="583" spans="4:4" ht="12.75" customHeight="1" x14ac:dyDescent="0.25">
      <c r="D583" s="89"/>
    </row>
    <row r="584" spans="4:4" ht="12.75" customHeight="1" x14ac:dyDescent="0.25">
      <c r="D584" s="89"/>
    </row>
    <row r="585" spans="4:4" ht="12.75" customHeight="1" x14ac:dyDescent="0.25">
      <c r="D585" s="89"/>
    </row>
    <row r="586" spans="4:4" ht="12.75" customHeight="1" x14ac:dyDescent="0.25">
      <c r="D586" s="89"/>
    </row>
    <row r="587" spans="4:4" ht="12.75" customHeight="1" x14ac:dyDescent="0.25">
      <c r="D587" s="89"/>
    </row>
    <row r="588" spans="4:4" ht="12.75" customHeight="1" x14ac:dyDescent="0.25">
      <c r="D588" s="89"/>
    </row>
    <row r="589" spans="4:4" ht="12.75" customHeight="1" x14ac:dyDescent="0.25">
      <c r="D589" s="89"/>
    </row>
    <row r="590" spans="4:4" ht="12.75" customHeight="1" x14ac:dyDescent="0.25">
      <c r="D590" s="89"/>
    </row>
    <row r="591" spans="4:4" ht="12.75" customHeight="1" x14ac:dyDescent="0.25">
      <c r="D591" s="89"/>
    </row>
    <row r="592" spans="4:4" ht="12.75" customHeight="1" x14ac:dyDescent="0.25">
      <c r="D592" s="89"/>
    </row>
    <row r="593" spans="4:4" ht="12.75" customHeight="1" x14ac:dyDescent="0.25">
      <c r="D593" s="89"/>
    </row>
    <row r="594" spans="4:4" ht="12.75" customHeight="1" x14ac:dyDescent="0.25">
      <c r="D594" s="89"/>
    </row>
    <row r="595" spans="4:4" ht="12.75" customHeight="1" x14ac:dyDescent="0.25">
      <c r="D595" s="89"/>
    </row>
    <row r="596" spans="4:4" ht="12.75" customHeight="1" x14ac:dyDescent="0.25">
      <c r="D596" s="89"/>
    </row>
    <row r="597" spans="4:4" ht="12.75" customHeight="1" x14ac:dyDescent="0.25">
      <c r="D597" s="89"/>
    </row>
    <row r="598" spans="4:4" ht="12.75" customHeight="1" x14ac:dyDescent="0.25">
      <c r="D598" s="89"/>
    </row>
    <row r="599" spans="4:4" ht="12.75" customHeight="1" x14ac:dyDescent="0.25">
      <c r="D599" s="89"/>
    </row>
    <row r="600" spans="4:4" ht="12.75" customHeight="1" x14ac:dyDescent="0.25">
      <c r="D600" s="89"/>
    </row>
    <row r="601" spans="4:4" ht="12.75" customHeight="1" x14ac:dyDescent="0.25">
      <c r="D601" s="89"/>
    </row>
    <row r="602" spans="4:4" ht="12.75" customHeight="1" x14ac:dyDescent="0.25">
      <c r="D602" s="89"/>
    </row>
    <row r="603" spans="4:4" ht="12.75" customHeight="1" x14ac:dyDescent="0.25">
      <c r="D603" s="89"/>
    </row>
    <row r="604" spans="4:4" ht="12.75" customHeight="1" x14ac:dyDescent="0.25">
      <c r="D604" s="89"/>
    </row>
    <row r="605" spans="4:4" ht="12.75" customHeight="1" x14ac:dyDescent="0.25">
      <c r="D605" s="89"/>
    </row>
    <row r="606" spans="4:4" ht="12.75" customHeight="1" x14ac:dyDescent="0.25">
      <c r="D606" s="89"/>
    </row>
    <row r="607" spans="4:4" ht="12.75" customHeight="1" x14ac:dyDescent="0.25">
      <c r="D607" s="89"/>
    </row>
    <row r="608" spans="4:4" ht="12.75" customHeight="1" x14ac:dyDescent="0.25">
      <c r="D608" s="89"/>
    </row>
    <row r="609" spans="4:4" ht="12.75" customHeight="1" x14ac:dyDescent="0.25">
      <c r="D609" s="89"/>
    </row>
    <row r="610" spans="4:4" ht="12.75" customHeight="1" x14ac:dyDescent="0.25">
      <c r="D610" s="89"/>
    </row>
    <row r="611" spans="4:4" ht="12.75" customHeight="1" x14ac:dyDescent="0.25">
      <c r="D611" s="89"/>
    </row>
    <row r="612" spans="4:4" ht="12.75" customHeight="1" x14ac:dyDescent="0.25">
      <c r="D612" s="89"/>
    </row>
    <row r="613" spans="4:4" ht="12.75" customHeight="1" x14ac:dyDescent="0.25">
      <c r="D613" s="89"/>
    </row>
    <row r="614" spans="4:4" ht="12.75" customHeight="1" x14ac:dyDescent="0.25">
      <c r="D614" s="89"/>
    </row>
    <row r="615" spans="4:4" ht="12.75" customHeight="1" x14ac:dyDescent="0.25">
      <c r="D615" s="89"/>
    </row>
    <row r="616" spans="4:4" ht="12.75" customHeight="1" x14ac:dyDescent="0.25">
      <c r="D616" s="89"/>
    </row>
    <row r="617" spans="4:4" ht="12.75" customHeight="1" x14ac:dyDescent="0.25">
      <c r="D617" s="89"/>
    </row>
    <row r="618" spans="4:4" ht="12.75" customHeight="1" x14ac:dyDescent="0.25">
      <c r="D618" s="89"/>
    </row>
    <row r="619" spans="4:4" ht="12.75" customHeight="1" x14ac:dyDescent="0.25">
      <c r="D619" s="89"/>
    </row>
    <row r="620" spans="4:4" ht="12.75" customHeight="1" x14ac:dyDescent="0.25">
      <c r="D620" s="89"/>
    </row>
    <row r="621" spans="4:4" ht="12.75" customHeight="1" x14ac:dyDescent="0.25">
      <c r="D621" s="89"/>
    </row>
    <row r="622" spans="4:4" ht="12.75" customHeight="1" x14ac:dyDescent="0.25">
      <c r="D622" s="89"/>
    </row>
    <row r="623" spans="4:4" ht="12.75" customHeight="1" x14ac:dyDescent="0.25">
      <c r="D623" s="89"/>
    </row>
    <row r="624" spans="4:4" ht="12.75" customHeight="1" x14ac:dyDescent="0.25">
      <c r="D624" s="89"/>
    </row>
    <row r="625" spans="4:4" ht="12.75" customHeight="1" x14ac:dyDescent="0.25">
      <c r="D625" s="89"/>
    </row>
    <row r="626" spans="4:4" ht="12.75" customHeight="1" x14ac:dyDescent="0.25">
      <c r="D626" s="89"/>
    </row>
    <row r="627" spans="4:4" ht="12.75" customHeight="1" x14ac:dyDescent="0.25">
      <c r="D627" s="89"/>
    </row>
    <row r="628" spans="4:4" ht="12.75" customHeight="1" x14ac:dyDescent="0.25">
      <c r="D628" s="89"/>
    </row>
    <row r="629" spans="4:4" ht="12.75" customHeight="1" x14ac:dyDescent="0.25">
      <c r="D629" s="89"/>
    </row>
    <row r="630" spans="4:4" ht="12.75" customHeight="1" x14ac:dyDescent="0.25">
      <c r="D630" s="89"/>
    </row>
    <row r="631" spans="4:4" ht="12.75" customHeight="1" x14ac:dyDescent="0.25">
      <c r="D631" s="89"/>
    </row>
    <row r="632" spans="4:4" ht="12.75" customHeight="1" x14ac:dyDescent="0.25">
      <c r="D632" s="89"/>
    </row>
    <row r="633" spans="4:4" ht="12.75" customHeight="1" x14ac:dyDescent="0.25">
      <c r="D633" s="89"/>
    </row>
    <row r="634" spans="4:4" ht="12.75" customHeight="1" x14ac:dyDescent="0.25">
      <c r="D634" s="89"/>
    </row>
    <row r="635" spans="4:4" ht="12.75" customHeight="1" x14ac:dyDescent="0.25">
      <c r="D635" s="89"/>
    </row>
    <row r="636" spans="4:4" ht="12.75" customHeight="1" x14ac:dyDescent="0.25">
      <c r="D636" s="89"/>
    </row>
    <row r="637" spans="4:4" ht="12.75" customHeight="1" x14ac:dyDescent="0.25">
      <c r="D637" s="89"/>
    </row>
    <row r="638" spans="4:4" ht="12.75" customHeight="1" x14ac:dyDescent="0.25">
      <c r="D638" s="89"/>
    </row>
    <row r="639" spans="4:4" ht="12.75" customHeight="1" x14ac:dyDescent="0.25">
      <c r="D639" s="89"/>
    </row>
    <row r="640" spans="4:4" ht="12.75" customHeight="1" x14ac:dyDescent="0.25">
      <c r="D640" s="89"/>
    </row>
    <row r="641" spans="4:4" ht="12.75" customHeight="1" x14ac:dyDescent="0.25">
      <c r="D641" s="89"/>
    </row>
    <row r="642" spans="4:4" ht="12.75" customHeight="1" x14ac:dyDescent="0.25">
      <c r="D642" s="89"/>
    </row>
    <row r="643" spans="4:4" ht="12.75" customHeight="1" x14ac:dyDescent="0.25">
      <c r="D643" s="89"/>
    </row>
    <row r="644" spans="4:4" ht="12.75" customHeight="1" x14ac:dyDescent="0.25">
      <c r="D644" s="89"/>
    </row>
    <row r="645" spans="4:4" ht="12.75" customHeight="1" x14ac:dyDescent="0.25">
      <c r="D645" s="89"/>
    </row>
    <row r="646" spans="4:4" ht="12.75" customHeight="1" x14ac:dyDescent="0.25">
      <c r="D646" s="89"/>
    </row>
    <row r="647" spans="4:4" ht="12.75" customHeight="1" x14ac:dyDescent="0.25">
      <c r="D647" s="89"/>
    </row>
    <row r="648" spans="4:4" ht="12.75" customHeight="1" x14ac:dyDescent="0.25">
      <c r="D648" s="89"/>
    </row>
    <row r="649" spans="4:4" ht="12.75" customHeight="1" x14ac:dyDescent="0.25">
      <c r="D649" s="89"/>
    </row>
    <row r="650" spans="4:4" ht="12.75" customHeight="1" x14ac:dyDescent="0.25">
      <c r="D650" s="89"/>
    </row>
    <row r="651" spans="4:4" ht="12.75" customHeight="1" x14ac:dyDescent="0.25">
      <c r="D651" s="89"/>
    </row>
    <row r="652" spans="4:4" ht="12.75" customHeight="1" x14ac:dyDescent="0.25">
      <c r="D652" s="89"/>
    </row>
    <row r="653" spans="4:4" ht="12.75" customHeight="1" x14ac:dyDescent="0.25">
      <c r="D653" s="89"/>
    </row>
    <row r="654" spans="4:4" ht="12.75" customHeight="1" x14ac:dyDescent="0.25">
      <c r="D654" s="89"/>
    </row>
    <row r="655" spans="4:4" ht="12.75" customHeight="1" x14ac:dyDescent="0.25">
      <c r="D655" s="89"/>
    </row>
    <row r="656" spans="4:4" ht="12.75" customHeight="1" x14ac:dyDescent="0.25">
      <c r="D656" s="89"/>
    </row>
    <row r="657" spans="4:4" ht="12.75" customHeight="1" x14ac:dyDescent="0.25">
      <c r="D657" s="89"/>
    </row>
    <row r="658" spans="4:4" ht="12.75" customHeight="1" x14ac:dyDescent="0.25">
      <c r="D658" s="89"/>
    </row>
    <row r="659" spans="4:4" ht="12.75" customHeight="1" x14ac:dyDescent="0.25">
      <c r="D659" s="89"/>
    </row>
    <row r="660" spans="4:4" ht="12.75" customHeight="1" x14ac:dyDescent="0.25">
      <c r="D660" s="89"/>
    </row>
    <row r="661" spans="4:4" ht="12.75" customHeight="1" x14ac:dyDescent="0.25">
      <c r="D661" s="89"/>
    </row>
    <row r="662" spans="4:4" ht="12.75" customHeight="1" x14ac:dyDescent="0.25">
      <c r="D662" s="89"/>
    </row>
    <row r="663" spans="4:4" ht="12.75" customHeight="1" x14ac:dyDescent="0.25">
      <c r="D663" s="89"/>
    </row>
    <row r="664" spans="4:4" ht="12.75" customHeight="1" x14ac:dyDescent="0.25">
      <c r="D664" s="89"/>
    </row>
    <row r="665" spans="4:4" ht="12.75" customHeight="1" x14ac:dyDescent="0.25">
      <c r="D665" s="89"/>
    </row>
    <row r="666" spans="4:4" ht="12.75" customHeight="1" x14ac:dyDescent="0.25">
      <c r="D666" s="89"/>
    </row>
    <row r="667" spans="4:4" ht="12.75" customHeight="1" x14ac:dyDescent="0.25">
      <c r="D667" s="89"/>
    </row>
    <row r="668" spans="4:4" ht="12.75" customHeight="1" x14ac:dyDescent="0.25">
      <c r="D668" s="89"/>
    </row>
    <row r="669" spans="4:4" ht="12.75" customHeight="1" x14ac:dyDescent="0.25">
      <c r="D669" s="89"/>
    </row>
    <row r="670" spans="4:4" ht="12.75" customHeight="1" x14ac:dyDescent="0.25">
      <c r="D670" s="89"/>
    </row>
    <row r="671" spans="4:4" ht="12.75" customHeight="1" x14ac:dyDescent="0.25">
      <c r="D671" s="89"/>
    </row>
    <row r="672" spans="4:4" ht="12.75" customHeight="1" x14ac:dyDescent="0.25">
      <c r="D672" s="89"/>
    </row>
    <row r="673" spans="4:4" ht="12.75" customHeight="1" x14ac:dyDescent="0.25">
      <c r="D673" s="89"/>
    </row>
    <row r="674" spans="4:4" ht="12.75" customHeight="1" x14ac:dyDescent="0.25">
      <c r="D674" s="89"/>
    </row>
    <row r="675" spans="4:4" ht="12.75" customHeight="1" x14ac:dyDescent="0.25">
      <c r="D675" s="89"/>
    </row>
    <row r="676" spans="4:4" ht="12.75" customHeight="1" x14ac:dyDescent="0.25">
      <c r="D676" s="89"/>
    </row>
    <row r="677" spans="4:4" ht="12.75" customHeight="1" x14ac:dyDescent="0.25">
      <c r="D677" s="89"/>
    </row>
    <row r="678" spans="4:4" ht="12.75" customHeight="1" x14ac:dyDescent="0.25">
      <c r="D678" s="89"/>
    </row>
    <row r="679" spans="4:4" ht="12.75" customHeight="1" x14ac:dyDescent="0.25">
      <c r="D679" s="89"/>
    </row>
    <row r="680" spans="4:4" ht="12.75" customHeight="1" x14ac:dyDescent="0.25">
      <c r="D680" s="89"/>
    </row>
    <row r="681" spans="4:4" ht="12.75" customHeight="1" x14ac:dyDescent="0.25">
      <c r="D681" s="89"/>
    </row>
    <row r="682" spans="4:4" ht="12.75" customHeight="1" x14ac:dyDescent="0.25">
      <c r="D682" s="89"/>
    </row>
    <row r="683" spans="4:4" ht="12.75" customHeight="1" x14ac:dyDescent="0.25">
      <c r="D683" s="89"/>
    </row>
    <row r="684" spans="4:4" ht="12.75" customHeight="1" x14ac:dyDescent="0.25">
      <c r="D684" s="89"/>
    </row>
    <row r="685" spans="4:4" ht="12.75" customHeight="1" x14ac:dyDescent="0.25">
      <c r="D685" s="89"/>
    </row>
    <row r="686" spans="4:4" ht="12.75" customHeight="1" x14ac:dyDescent="0.25">
      <c r="D686" s="89"/>
    </row>
    <row r="687" spans="4:4" ht="12.75" customHeight="1" x14ac:dyDescent="0.25">
      <c r="D687" s="89"/>
    </row>
    <row r="688" spans="4:4" ht="12.75" customHeight="1" x14ac:dyDescent="0.25">
      <c r="D688" s="89"/>
    </row>
    <row r="689" spans="4:4" ht="12.75" customHeight="1" x14ac:dyDescent="0.25">
      <c r="D689" s="89"/>
    </row>
    <row r="690" spans="4:4" ht="12.75" customHeight="1" x14ac:dyDescent="0.25">
      <c r="D690" s="89"/>
    </row>
    <row r="691" spans="4:4" ht="12.75" customHeight="1" x14ac:dyDescent="0.25">
      <c r="D691" s="89"/>
    </row>
    <row r="692" spans="4:4" ht="12.75" customHeight="1" x14ac:dyDescent="0.25">
      <c r="D692" s="89"/>
    </row>
    <row r="693" spans="4:4" ht="12.75" customHeight="1" x14ac:dyDescent="0.25">
      <c r="D693" s="89"/>
    </row>
    <row r="694" spans="4:4" ht="12.75" customHeight="1" x14ac:dyDescent="0.25">
      <c r="D694" s="89"/>
    </row>
    <row r="695" spans="4:4" ht="12.75" customHeight="1" x14ac:dyDescent="0.25">
      <c r="D695" s="89"/>
    </row>
    <row r="696" spans="4:4" ht="12.75" customHeight="1" x14ac:dyDescent="0.25">
      <c r="D696" s="89"/>
    </row>
    <row r="697" spans="4:4" ht="12.75" customHeight="1" x14ac:dyDescent="0.25">
      <c r="D697" s="89"/>
    </row>
    <row r="698" spans="4:4" ht="12.75" customHeight="1" x14ac:dyDescent="0.25">
      <c r="D698" s="89"/>
    </row>
    <row r="699" spans="4:4" ht="12.75" customHeight="1" x14ac:dyDescent="0.25">
      <c r="D699" s="89"/>
    </row>
    <row r="700" spans="4:4" ht="12.75" customHeight="1" x14ac:dyDescent="0.25">
      <c r="D700" s="89"/>
    </row>
    <row r="701" spans="4:4" ht="12.75" customHeight="1" x14ac:dyDescent="0.25">
      <c r="D701" s="89"/>
    </row>
    <row r="702" spans="4:4" ht="12.75" customHeight="1" x14ac:dyDescent="0.25">
      <c r="D702" s="89"/>
    </row>
    <row r="703" spans="4:4" ht="12.75" customHeight="1" x14ac:dyDescent="0.25">
      <c r="D703" s="89"/>
    </row>
    <row r="704" spans="4:4" ht="12.75" customHeight="1" x14ac:dyDescent="0.25">
      <c r="D704" s="89"/>
    </row>
    <row r="705" spans="4:4" ht="12.75" customHeight="1" x14ac:dyDescent="0.25">
      <c r="D705" s="89"/>
    </row>
    <row r="706" spans="4:4" ht="12.75" customHeight="1" x14ac:dyDescent="0.25">
      <c r="D706" s="89"/>
    </row>
    <row r="707" spans="4:4" ht="12.75" customHeight="1" x14ac:dyDescent="0.25">
      <c r="D707" s="89"/>
    </row>
    <row r="708" spans="4:4" ht="12.75" customHeight="1" x14ac:dyDescent="0.25">
      <c r="D708" s="89"/>
    </row>
    <row r="709" spans="4:4" ht="12.75" customHeight="1" x14ac:dyDescent="0.25">
      <c r="D709" s="89"/>
    </row>
    <row r="710" spans="4:4" ht="12.75" customHeight="1" x14ac:dyDescent="0.25">
      <c r="D710" s="89"/>
    </row>
    <row r="711" spans="4:4" ht="12.75" customHeight="1" x14ac:dyDescent="0.25">
      <c r="D711" s="89"/>
    </row>
    <row r="712" spans="4:4" ht="12.75" customHeight="1" x14ac:dyDescent="0.25">
      <c r="D712" s="89"/>
    </row>
    <row r="713" spans="4:4" ht="12.75" customHeight="1" x14ac:dyDescent="0.25">
      <c r="D713" s="89"/>
    </row>
    <row r="714" spans="4:4" ht="12.75" customHeight="1" x14ac:dyDescent="0.25">
      <c r="D714" s="89"/>
    </row>
    <row r="715" spans="4:4" ht="12.75" customHeight="1" x14ac:dyDescent="0.25">
      <c r="D715" s="89"/>
    </row>
    <row r="716" spans="4:4" ht="12.75" customHeight="1" x14ac:dyDescent="0.25">
      <c r="D716" s="89"/>
    </row>
    <row r="717" spans="4:4" ht="12.75" customHeight="1" x14ac:dyDescent="0.25">
      <c r="D717" s="89"/>
    </row>
    <row r="718" spans="4:4" ht="12.75" customHeight="1" x14ac:dyDescent="0.25">
      <c r="D718" s="89"/>
    </row>
    <row r="719" spans="4:4" ht="12.75" customHeight="1" x14ac:dyDescent="0.25">
      <c r="D719" s="89"/>
    </row>
    <row r="720" spans="4:4" ht="12.75" customHeight="1" x14ac:dyDescent="0.25">
      <c r="D720" s="89"/>
    </row>
    <row r="721" spans="4:4" ht="12.75" customHeight="1" x14ac:dyDescent="0.25">
      <c r="D721" s="89"/>
    </row>
    <row r="722" spans="4:4" ht="12.75" customHeight="1" x14ac:dyDescent="0.25">
      <c r="D722" s="89"/>
    </row>
    <row r="723" spans="4:4" ht="12.75" customHeight="1" x14ac:dyDescent="0.25">
      <c r="D723" s="89"/>
    </row>
    <row r="724" spans="4:4" ht="12.75" customHeight="1" x14ac:dyDescent="0.25">
      <c r="D724" s="89"/>
    </row>
    <row r="725" spans="4:4" ht="12.75" customHeight="1" x14ac:dyDescent="0.25">
      <c r="D725" s="89"/>
    </row>
    <row r="726" spans="4:4" ht="12.75" customHeight="1" x14ac:dyDescent="0.25">
      <c r="D726" s="89"/>
    </row>
    <row r="727" spans="4:4" ht="12.75" customHeight="1" x14ac:dyDescent="0.25">
      <c r="D727" s="89"/>
    </row>
    <row r="728" spans="4:4" ht="12.75" customHeight="1" x14ac:dyDescent="0.25">
      <c r="D728" s="89"/>
    </row>
    <row r="729" spans="4:4" ht="12.75" customHeight="1" x14ac:dyDescent="0.25">
      <c r="D729" s="89"/>
    </row>
    <row r="730" spans="4:4" ht="12.75" customHeight="1" x14ac:dyDescent="0.25">
      <c r="D730" s="89"/>
    </row>
    <row r="731" spans="4:4" ht="12.75" customHeight="1" x14ac:dyDescent="0.25">
      <c r="D731" s="89"/>
    </row>
    <row r="732" spans="4:4" ht="12.75" customHeight="1" x14ac:dyDescent="0.25">
      <c r="D732" s="89"/>
    </row>
    <row r="733" spans="4:4" ht="12.75" customHeight="1" x14ac:dyDescent="0.25">
      <c r="D733" s="89"/>
    </row>
    <row r="734" spans="4:4" ht="12.75" customHeight="1" x14ac:dyDescent="0.25">
      <c r="D734" s="89"/>
    </row>
    <row r="735" spans="4:4" ht="12.75" customHeight="1" x14ac:dyDescent="0.25">
      <c r="D735" s="89"/>
    </row>
    <row r="736" spans="4:4" ht="12.75" customHeight="1" x14ac:dyDescent="0.25">
      <c r="D736" s="89"/>
    </row>
    <row r="737" spans="4:4" ht="12.75" customHeight="1" x14ac:dyDescent="0.25">
      <c r="D737" s="89"/>
    </row>
    <row r="738" spans="4:4" ht="12.75" customHeight="1" x14ac:dyDescent="0.25">
      <c r="D738" s="89"/>
    </row>
    <row r="739" spans="4:4" ht="12.75" customHeight="1" x14ac:dyDescent="0.25">
      <c r="D739" s="89"/>
    </row>
    <row r="740" spans="4:4" ht="12.75" customHeight="1" x14ac:dyDescent="0.25">
      <c r="D740" s="89"/>
    </row>
    <row r="741" spans="4:4" ht="12.75" customHeight="1" x14ac:dyDescent="0.25">
      <c r="D741" s="89"/>
    </row>
    <row r="742" spans="4:4" ht="12.75" customHeight="1" x14ac:dyDescent="0.25">
      <c r="D742" s="89"/>
    </row>
    <row r="743" spans="4:4" ht="12.75" customHeight="1" x14ac:dyDescent="0.25">
      <c r="D743" s="89"/>
    </row>
    <row r="744" spans="4:4" ht="12.75" customHeight="1" x14ac:dyDescent="0.25">
      <c r="D744" s="89"/>
    </row>
    <row r="745" spans="4:4" ht="12.75" customHeight="1" x14ac:dyDescent="0.25">
      <c r="D745" s="89"/>
    </row>
    <row r="746" spans="4:4" ht="12.75" customHeight="1" x14ac:dyDescent="0.25">
      <c r="D746" s="89"/>
    </row>
    <row r="747" spans="4:4" ht="12.75" customHeight="1" x14ac:dyDescent="0.25">
      <c r="D747" s="89"/>
    </row>
    <row r="748" spans="4:4" ht="12.75" customHeight="1" x14ac:dyDescent="0.25">
      <c r="D748" s="89"/>
    </row>
    <row r="749" spans="4:4" ht="12.75" customHeight="1" x14ac:dyDescent="0.25">
      <c r="D749" s="89"/>
    </row>
    <row r="750" spans="4:4" ht="12.75" customHeight="1" x14ac:dyDescent="0.25">
      <c r="D750" s="89"/>
    </row>
    <row r="751" spans="4:4" ht="12.75" customHeight="1" x14ac:dyDescent="0.25">
      <c r="D751" s="89"/>
    </row>
    <row r="752" spans="4:4" ht="12.75" customHeight="1" x14ac:dyDescent="0.25">
      <c r="D752" s="89"/>
    </row>
    <row r="753" spans="4:4" ht="12.75" customHeight="1" x14ac:dyDescent="0.25">
      <c r="D753" s="89"/>
    </row>
    <row r="754" spans="4:4" ht="12.75" customHeight="1" x14ac:dyDescent="0.25">
      <c r="D754" s="89"/>
    </row>
    <row r="755" spans="4:4" ht="12.75" customHeight="1" x14ac:dyDescent="0.25">
      <c r="D755" s="89"/>
    </row>
    <row r="756" spans="4:4" ht="12.75" customHeight="1" x14ac:dyDescent="0.25">
      <c r="D756" s="89"/>
    </row>
    <row r="757" spans="4:4" ht="12.75" customHeight="1" x14ac:dyDescent="0.25">
      <c r="D757" s="89"/>
    </row>
    <row r="758" spans="4:4" ht="12.75" customHeight="1" x14ac:dyDescent="0.25">
      <c r="D758" s="89"/>
    </row>
    <row r="759" spans="4:4" ht="12.75" customHeight="1" x14ac:dyDescent="0.25">
      <c r="D759" s="89"/>
    </row>
    <row r="760" spans="4:4" ht="12.75" customHeight="1" x14ac:dyDescent="0.25">
      <c r="D760" s="89"/>
    </row>
    <row r="761" spans="4:4" ht="12.75" customHeight="1" x14ac:dyDescent="0.25">
      <c r="D761" s="89"/>
    </row>
    <row r="762" spans="4:4" ht="12.75" customHeight="1" x14ac:dyDescent="0.25">
      <c r="D762" s="89"/>
    </row>
    <row r="763" spans="4:4" ht="12.75" customHeight="1" x14ac:dyDescent="0.25">
      <c r="D763" s="89"/>
    </row>
    <row r="764" spans="4:4" ht="12.75" customHeight="1" x14ac:dyDescent="0.25">
      <c r="D764" s="89"/>
    </row>
    <row r="765" spans="4:4" ht="12.75" customHeight="1" x14ac:dyDescent="0.25">
      <c r="D765" s="89"/>
    </row>
    <row r="766" spans="4:4" ht="12.75" customHeight="1" x14ac:dyDescent="0.25">
      <c r="D766" s="89"/>
    </row>
    <row r="767" spans="4:4" ht="12.75" customHeight="1" x14ac:dyDescent="0.25">
      <c r="D767" s="89"/>
    </row>
    <row r="768" spans="4:4" ht="12.75" customHeight="1" x14ac:dyDescent="0.25">
      <c r="D768" s="89"/>
    </row>
    <row r="769" spans="4:4" ht="12.75" customHeight="1" x14ac:dyDescent="0.25">
      <c r="D769" s="89"/>
    </row>
    <row r="770" spans="4:4" ht="12.75" customHeight="1" x14ac:dyDescent="0.25">
      <c r="D770" s="89"/>
    </row>
    <row r="771" spans="4:4" ht="12.75" customHeight="1" x14ac:dyDescent="0.25">
      <c r="D771" s="89"/>
    </row>
    <row r="772" spans="4:4" ht="12.75" customHeight="1" x14ac:dyDescent="0.25">
      <c r="D772" s="89"/>
    </row>
    <row r="773" spans="4:4" ht="12.75" customHeight="1" x14ac:dyDescent="0.25">
      <c r="D773" s="89"/>
    </row>
    <row r="774" spans="4:4" ht="12.75" customHeight="1" x14ac:dyDescent="0.25">
      <c r="D774" s="89"/>
    </row>
    <row r="775" spans="4:4" ht="12.75" customHeight="1" x14ac:dyDescent="0.25">
      <c r="D775" s="89"/>
    </row>
    <row r="776" spans="4:4" ht="12.75" customHeight="1" x14ac:dyDescent="0.25">
      <c r="D776" s="89"/>
    </row>
    <row r="777" spans="4:4" ht="12.75" customHeight="1" x14ac:dyDescent="0.25">
      <c r="D777" s="89"/>
    </row>
    <row r="778" spans="4:4" ht="12.75" customHeight="1" x14ac:dyDescent="0.25">
      <c r="D778" s="89"/>
    </row>
    <row r="779" spans="4:4" ht="12.75" customHeight="1" x14ac:dyDescent="0.25">
      <c r="D779" s="89"/>
    </row>
    <row r="780" spans="4:4" ht="12.75" customHeight="1" x14ac:dyDescent="0.25">
      <c r="D780" s="89"/>
    </row>
    <row r="781" spans="4:4" ht="12.75" customHeight="1" x14ac:dyDescent="0.25">
      <c r="D781" s="89"/>
    </row>
    <row r="782" spans="4:4" ht="12.75" customHeight="1" x14ac:dyDescent="0.25">
      <c r="D782" s="89"/>
    </row>
    <row r="783" spans="4:4" ht="12.75" customHeight="1" x14ac:dyDescent="0.25">
      <c r="D783" s="89"/>
    </row>
    <row r="784" spans="4:4" ht="12.75" customHeight="1" x14ac:dyDescent="0.25">
      <c r="D784" s="89"/>
    </row>
    <row r="785" spans="4:4" ht="12.75" customHeight="1" x14ac:dyDescent="0.25">
      <c r="D785" s="89"/>
    </row>
    <row r="786" spans="4:4" ht="12.75" customHeight="1" x14ac:dyDescent="0.25">
      <c r="D786" s="89"/>
    </row>
    <row r="787" spans="4:4" ht="12.75" customHeight="1" x14ac:dyDescent="0.25">
      <c r="D787" s="89"/>
    </row>
    <row r="788" spans="4:4" ht="12.75" customHeight="1" x14ac:dyDescent="0.25">
      <c r="D788" s="89"/>
    </row>
    <row r="789" spans="4:4" ht="12.75" customHeight="1" x14ac:dyDescent="0.25">
      <c r="D789" s="89"/>
    </row>
    <row r="790" spans="4:4" ht="12.75" customHeight="1" x14ac:dyDescent="0.25">
      <c r="D790" s="89"/>
    </row>
    <row r="791" spans="4:4" ht="12.75" customHeight="1" x14ac:dyDescent="0.25">
      <c r="D791" s="89"/>
    </row>
    <row r="792" spans="4:4" ht="12.75" customHeight="1" x14ac:dyDescent="0.25">
      <c r="D792" s="89"/>
    </row>
    <row r="793" spans="4:4" ht="12.75" customHeight="1" x14ac:dyDescent="0.25">
      <c r="D793" s="89"/>
    </row>
    <row r="794" spans="4:4" ht="12.75" customHeight="1" x14ac:dyDescent="0.25">
      <c r="D794" s="89"/>
    </row>
    <row r="795" spans="4:4" ht="12.75" customHeight="1" x14ac:dyDescent="0.25">
      <c r="D795" s="89"/>
    </row>
    <row r="796" spans="4:4" ht="12.75" customHeight="1" x14ac:dyDescent="0.25">
      <c r="D796" s="89"/>
    </row>
    <row r="797" spans="4:4" ht="12.75" customHeight="1" x14ac:dyDescent="0.25">
      <c r="D797" s="89"/>
    </row>
    <row r="798" spans="4:4" ht="12.75" customHeight="1" x14ac:dyDescent="0.25">
      <c r="D798" s="89"/>
    </row>
    <row r="799" spans="4:4" ht="12.75" customHeight="1" x14ac:dyDescent="0.25">
      <c r="D799" s="89"/>
    </row>
    <row r="800" spans="4:4" ht="12.75" customHeight="1" x14ac:dyDescent="0.25">
      <c r="D800" s="89"/>
    </row>
    <row r="801" spans="4:4" ht="12.75" customHeight="1" x14ac:dyDescent="0.25">
      <c r="D801" s="89"/>
    </row>
    <row r="802" spans="4:4" ht="12.75" customHeight="1" x14ac:dyDescent="0.25">
      <c r="D802" s="89"/>
    </row>
    <row r="803" spans="4:4" ht="12.75" customHeight="1" x14ac:dyDescent="0.25">
      <c r="D803" s="89"/>
    </row>
    <row r="804" spans="4:4" ht="12.75" customHeight="1" x14ac:dyDescent="0.25">
      <c r="D804" s="89"/>
    </row>
    <row r="805" spans="4:4" ht="12.75" customHeight="1" x14ac:dyDescent="0.25">
      <c r="D805" s="89"/>
    </row>
    <row r="806" spans="4:4" ht="12.75" customHeight="1" x14ac:dyDescent="0.25">
      <c r="D806" s="89"/>
    </row>
    <row r="807" spans="4:4" ht="12.75" customHeight="1" x14ac:dyDescent="0.25">
      <c r="D807" s="89"/>
    </row>
    <row r="808" spans="4:4" ht="12.75" customHeight="1" x14ac:dyDescent="0.25">
      <c r="D808" s="89"/>
    </row>
    <row r="809" spans="4:4" ht="12.75" customHeight="1" x14ac:dyDescent="0.25">
      <c r="D809" s="89"/>
    </row>
    <row r="810" spans="4:4" ht="12.75" customHeight="1" x14ac:dyDescent="0.25">
      <c r="D810" s="89"/>
    </row>
    <row r="811" spans="4:4" ht="12.75" customHeight="1" x14ac:dyDescent="0.25">
      <c r="D811" s="89"/>
    </row>
    <row r="812" spans="4:4" ht="12.75" customHeight="1" x14ac:dyDescent="0.25">
      <c r="D812" s="89"/>
    </row>
    <row r="813" spans="4:4" ht="12.75" customHeight="1" x14ac:dyDescent="0.25">
      <c r="D813" s="89"/>
    </row>
    <row r="814" spans="4:4" ht="12.75" customHeight="1" x14ac:dyDescent="0.25">
      <c r="D814" s="89"/>
    </row>
    <row r="815" spans="4:4" ht="12.75" customHeight="1" x14ac:dyDescent="0.25">
      <c r="D815" s="89"/>
    </row>
    <row r="816" spans="4:4" ht="12.75" customHeight="1" x14ac:dyDescent="0.25">
      <c r="D816" s="89"/>
    </row>
    <row r="817" spans="4:4" ht="12.75" customHeight="1" x14ac:dyDescent="0.25">
      <c r="D817" s="89"/>
    </row>
    <row r="818" spans="4:4" ht="12.75" customHeight="1" x14ac:dyDescent="0.25">
      <c r="D818" s="89"/>
    </row>
    <row r="819" spans="4:4" ht="12.75" customHeight="1" x14ac:dyDescent="0.25">
      <c r="D819" s="89"/>
    </row>
    <row r="820" spans="4:4" ht="12.75" customHeight="1" x14ac:dyDescent="0.25">
      <c r="D820" s="89"/>
    </row>
    <row r="821" spans="4:4" ht="12.75" customHeight="1" x14ac:dyDescent="0.25">
      <c r="D821" s="89"/>
    </row>
    <row r="822" spans="4:4" ht="12.75" customHeight="1" x14ac:dyDescent="0.25">
      <c r="D822" s="89"/>
    </row>
    <row r="823" spans="4:4" ht="12.75" customHeight="1" x14ac:dyDescent="0.25">
      <c r="D823" s="89"/>
    </row>
    <row r="824" spans="4:4" ht="12.75" customHeight="1" x14ac:dyDescent="0.25">
      <c r="D824" s="89"/>
    </row>
    <row r="825" spans="4:4" ht="12.75" customHeight="1" x14ac:dyDescent="0.25">
      <c r="D825" s="89"/>
    </row>
    <row r="826" spans="4:4" ht="12.75" customHeight="1" x14ac:dyDescent="0.25">
      <c r="D826" s="89"/>
    </row>
    <row r="827" spans="4:4" ht="12.75" customHeight="1" x14ac:dyDescent="0.25">
      <c r="D827" s="89"/>
    </row>
    <row r="828" spans="4:4" ht="12.75" customHeight="1" x14ac:dyDescent="0.25">
      <c r="D828" s="89"/>
    </row>
    <row r="829" spans="4:4" ht="12.75" customHeight="1" x14ac:dyDescent="0.25">
      <c r="D829" s="89"/>
    </row>
    <row r="830" spans="4:4" ht="12.75" customHeight="1" x14ac:dyDescent="0.25">
      <c r="D830" s="89"/>
    </row>
    <row r="831" spans="4:4" ht="12.75" customHeight="1" x14ac:dyDescent="0.25">
      <c r="D831" s="89"/>
    </row>
    <row r="832" spans="4:4" ht="12.75" customHeight="1" x14ac:dyDescent="0.25">
      <c r="D832" s="89"/>
    </row>
    <row r="833" spans="4:4" ht="12.75" customHeight="1" x14ac:dyDescent="0.25">
      <c r="D833" s="89"/>
    </row>
    <row r="834" spans="4:4" ht="12.75" customHeight="1" x14ac:dyDescent="0.25">
      <c r="D834" s="89"/>
    </row>
    <row r="835" spans="4:4" ht="12.75" customHeight="1" x14ac:dyDescent="0.25">
      <c r="D835" s="89"/>
    </row>
  </sheetData>
  <autoFilter ref="B2:E309" xr:uid="{00000000-0009-0000-0000-000002000000}">
    <sortState xmlns:xlrd2="http://schemas.microsoft.com/office/spreadsheetml/2017/richdata2" ref="B3:E309">
      <sortCondition ref="B3:B309"/>
    </sortState>
  </autoFilter>
  <mergeCells count="46">
    <mergeCell ref="R4:T4"/>
    <mergeCell ref="Y4:AA4"/>
    <mergeCell ref="K2:N2"/>
    <mergeCell ref="Q2:V2"/>
    <mergeCell ref="X2:AC2"/>
    <mergeCell ref="R3:T3"/>
    <mergeCell ref="Y3:AA3"/>
    <mergeCell ref="R11:T11"/>
    <mergeCell ref="Y11:AA11"/>
    <mergeCell ref="R5:T5"/>
    <mergeCell ref="Y5:AA5"/>
    <mergeCell ref="R6:T6"/>
    <mergeCell ref="Y6:AA6"/>
    <mergeCell ref="R7:T7"/>
    <mergeCell ref="Y7:AA7"/>
    <mergeCell ref="R8:T8"/>
    <mergeCell ref="Y8:AA8"/>
    <mergeCell ref="Y9:AA9"/>
    <mergeCell ref="R10:T10"/>
    <mergeCell ref="Y10:AA10"/>
    <mergeCell ref="R12:T12"/>
    <mergeCell ref="Y12:AA12"/>
    <mergeCell ref="R13:T13"/>
    <mergeCell ref="Y13:AA13"/>
    <mergeCell ref="R14:T14"/>
    <mergeCell ref="Y14:AA14"/>
    <mergeCell ref="R15:T15"/>
    <mergeCell ref="Y15:AA15"/>
    <mergeCell ref="R16:T16"/>
    <mergeCell ref="Y16:AA16"/>
    <mergeCell ref="R17:T17"/>
    <mergeCell ref="Y17:AA17"/>
    <mergeCell ref="R18:T18"/>
    <mergeCell ref="Y18:AA18"/>
    <mergeCell ref="R20:T20"/>
    <mergeCell ref="Y20:AA20"/>
    <mergeCell ref="R21:T21"/>
    <mergeCell ref="Y21:AA21"/>
    <mergeCell ref="R41:T41"/>
    <mergeCell ref="Y41:AA41"/>
    <mergeCell ref="R22:T22"/>
    <mergeCell ref="Y22:AA22"/>
    <mergeCell ref="R23:T23"/>
    <mergeCell ref="Y23:AA23"/>
    <mergeCell ref="R24:T24"/>
    <mergeCell ref="Y24:AA24"/>
  </mergeCells>
  <pageMargins left="0.7" right="0.7" top="0.75" bottom="0.75" header="0" footer="0"/>
  <pageSetup orientation="portrait" r:id="rId1"/>
  <colBreaks count="1" manualBreakCount="1">
    <brk id="9" max="1048575" man="1"/>
  </col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6A24C0-A4D7-47AF-8CB0-6B22BD9B3CD8}">
  <sheetPr codeName="Hoja1">
    <tabColor rgb="FF92D050"/>
  </sheetPr>
  <dimension ref="B2:P19"/>
  <sheetViews>
    <sheetView topLeftCell="B1" workbookViewId="0">
      <selection activeCell="G13" sqref="G13"/>
    </sheetView>
  </sheetViews>
  <sheetFormatPr baseColWidth="10" defaultColWidth="10" defaultRowHeight="13.5" x14ac:dyDescent="0.25"/>
  <cols>
    <col min="1" max="1" width="10" style="62"/>
    <col min="2" max="2" width="8.28515625" style="88" customWidth="1"/>
    <col min="3" max="6" width="10" style="62"/>
    <col min="7" max="7" width="17.42578125" style="62" customWidth="1"/>
    <col min="8" max="8" width="10" style="62"/>
    <col min="9" max="9" width="22.7109375" style="62" customWidth="1"/>
    <col min="10" max="10" width="13.7109375" style="62" customWidth="1"/>
    <col min="11" max="11" width="12.7109375" style="62" bestFit="1" customWidth="1"/>
    <col min="12" max="12" width="16.140625" style="62" customWidth="1"/>
    <col min="13" max="16" width="14.28515625" style="62" customWidth="1"/>
    <col min="17" max="16384" width="10" style="62"/>
  </cols>
  <sheetData>
    <row r="2" spans="2:16" ht="22.5" customHeight="1" x14ac:dyDescent="0.25">
      <c r="B2" s="531" t="s">
        <v>40</v>
      </c>
      <c r="C2" s="532"/>
      <c r="D2" s="532"/>
      <c r="E2" s="532"/>
      <c r="F2" s="532"/>
      <c r="G2" s="533"/>
      <c r="I2" s="63" t="s">
        <v>41</v>
      </c>
      <c r="J2" s="64">
        <v>2026</v>
      </c>
      <c r="L2" s="65" t="s">
        <v>42</v>
      </c>
      <c r="M2" s="66">
        <v>1.4725860000437305</v>
      </c>
      <c r="N2" s="66">
        <v>1.9634480000583101</v>
      </c>
      <c r="O2" s="66">
        <v>2.6485969746386999</v>
      </c>
      <c r="P2" s="66">
        <v>8.3446545928029305</v>
      </c>
    </row>
    <row r="3" spans="2:16" ht="22.5" customHeight="1" x14ac:dyDescent="0.25">
      <c r="B3" s="67" t="s">
        <v>43</v>
      </c>
      <c r="C3" s="534" t="s">
        <v>44</v>
      </c>
      <c r="D3" s="527"/>
      <c r="E3" s="528"/>
      <c r="F3" s="68" t="s">
        <v>45</v>
      </c>
      <c r="G3" s="64" t="s">
        <v>46</v>
      </c>
      <c r="I3" s="63" t="s">
        <v>42</v>
      </c>
      <c r="J3" s="69">
        <v>1750000</v>
      </c>
      <c r="L3" s="65" t="s">
        <v>47</v>
      </c>
      <c r="M3" s="70">
        <f>+$J$3*M2</f>
        <v>2577025.5000765286</v>
      </c>
      <c r="N3" s="70">
        <f>+$J$3*N2</f>
        <v>3436034.0001020427</v>
      </c>
      <c r="O3" s="70">
        <f>+$J$3*O2</f>
        <v>4635044.7056177249</v>
      </c>
      <c r="P3" s="70">
        <f>+$J$3*P2</f>
        <v>14603145.537405128</v>
      </c>
    </row>
    <row r="4" spans="2:16" ht="22.5" customHeight="1" x14ac:dyDescent="0.25">
      <c r="B4" s="71" t="s">
        <v>48</v>
      </c>
      <c r="C4" s="535" t="s">
        <v>49</v>
      </c>
      <c r="D4" s="536"/>
      <c r="E4" s="537"/>
      <c r="F4" s="71" t="s">
        <v>50</v>
      </c>
      <c r="G4" s="72">
        <f>+M7</f>
        <v>30551.496311907275</v>
      </c>
      <c r="I4" s="63" t="s">
        <v>51</v>
      </c>
      <c r="J4" s="69">
        <v>200000</v>
      </c>
      <c r="L4" s="65" t="s">
        <v>52</v>
      </c>
      <c r="M4" s="70">
        <f>+M3/30</f>
        <v>85900.850002550957</v>
      </c>
      <c r="N4" s="70">
        <f>+N3/30</f>
        <v>114534.46667006808</v>
      </c>
      <c r="O4" s="70">
        <f>+O3/30</f>
        <v>154501.4901872575</v>
      </c>
      <c r="P4" s="70">
        <f>+P3/30</f>
        <v>486771.51791350427</v>
      </c>
    </row>
    <row r="5" spans="2:16" ht="22.5" customHeight="1" x14ac:dyDescent="0.25">
      <c r="B5" s="71" t="s">
        <v>53</v>
      </c>
      <c r="C5" s="535" t="s">
        <v>54</v>
      </c>
      <c r="D5" s="536"/>
      <c r="E5" s="537"/>
      <c r="F5" s="71" t="s">
        <v>50</v>
      </c>
      <c r="G5" s="73">
        <f>+O6</f>
        <v>34343.75</v>
      </c>
      <c r="I5" s="63" t="s">
        <v>55</v>
      </c>
      <c r="J5" s="69">
        <f>+J3+J4</f>
        <v>1950000</v>
      </c>
      <c r="L5" s="65" t="s">
        <v>56</v>
      </c>
      <c r="M5" s="74">
        <f>+M4/8</f>
        <v>10737.60625031887</v>
      </c>
      <c r="N5" s="74">
        <f>+N4/8</f>
        <v>14316.80833375851</v>
      </c>
      <c r="O5" s="74">
        <f>+O4/8</f>
        <v>19312.686273407187</v>
      </c>
      <c r="P5" s="74">
        <f>+P4/8</f>
        <v>60846.439739188034</v>
      </c>
    </row>
    <row r="6" spans="2:16" ht="27.75" customHeight="1" x14ac:dyDescent="0.25">
      <c r="B6" s="71" t="s">
        <v>57</v>
      </c>
      <c r="C6" s="526" t="s">
        <v>58</v>
      </c>
      <c r="D6" s="527"/>
      <c r="E6" s="528"/>
      <c r="F6" s="71" t="s">
        <v>50</v>
      </c>
      <c r="G6" s="73">
        <v>33135.280350000001</v>
      </c>
      <c r="I6" s="63" t="s">
        <v>59</v>
      </c>
      <c r="J6" s="75">
        <v>0.56000000000000005</v>
      </c>
      <c r="L6" s="76" t="s">
        <v>60</v>
      </c>
      <c r="M6" s="74">
        <f>+M5*1.7783</f>
        <v>19094.685194942045</v>
      </c>
      <c r="N6" s="74">
        <f>+N5*1.7783</f>
        <v>25459.580259922757</v>
      </c>
      <c r="O6" s="74">
        <f>+O5*1.7783</f>
        <v>34343.75</v>
      </c>
      <c r="P6" s="74">
        <f>+P5*1.7783</f>
        <v>108203.22378819808</v>
      </c>
    </row>
    <row r="7" spans="2:16" ht="22.5" customHeight="1" x14ac:dyDescent="0.25">
      <c r="B7" s="71" t="s">
        <v>61</v>
      </c>
      <c r="C7" s="526" t="s">
        <v>62</v>
      </c>
      <c r="D7" s="527"/>
      <c r="E7" s="528"/>
      <c r="F7" s="71" t="s">
        <v>50</v>
      </c>
      <c r="G7" s="73">
        <f>33135.28035*1.17</f>
        <v>38768.278009499998</v>
      </c>
      <c r="I7" s="63" t="s">
        <v>63</v>
      </c>
      <c r="J7" s="77">
        <v>8.3299999999999999E-2</v>
      </c>
      <c r="L7" s="529" t="s">
        <v>64</v>
      </c>
      <c r="M7" s="530">
        <f>+M6*1.6</f>
        <v>30551.496311907275</v>
      </c>
      <c r="N7" s="530">
        <f>+N6*1.6</f>
        <v>40735.328415876415</v>
      </c>
      <c r="O7" s="530">
        <f>+O6*1.6</f>
        <v>54950</v>
      </c>
      <c r="P7" s="530">
        <f>+P6*1.6</f>
        <v>173125.15806111693</v>
      </c>
    </row>
    <row r="8" spans="2:16" ht="22.5" customHeight="1" x14ac:dyDescent="0.25">
      <c r="B8" s="71" t="s">
        <v>65</v>
      </c>
      <c r="C8" s="526" t="s">
        <v>66</v>
      </c>
      <c r="D8" s="527"/>
      <c r="E8" s="528"/>
      <c r="F8" s="71" t="s">
        <v>50</v>
      </c>
      <c r="G8" s="73">
        <f>44697.9*1.1</f>
        <v>49167.69</v>
      </c>
      <c r="I8" s="63" t="s">
        <v>67</v>
      </c>
      <c r="J8" s="75">
        <v>0.01</v>
      </c>
      <c r="L8" s="529"/>
      <c r="M8" s="530"/>
      <c r="N8" s="530"/>
      <c r="O8" s="530"/>
      <c r="P8" s="530"/>
    </row>
    <row r="9" spans="2:16" ht="22.5" customHeight="1" x14ac:dyDescent="0.25">
      <c r="B9" s="71" t="s">
        <v>68</v>
      </c>
      <c r="C9" s="526" t="s">
        <v>69</v>
      </c>
      <c r="D9" s="527"/>
      <c r="E9" s="528"/>
      <c r="F9" s="71" t="s">
        <v>50</v>
      </c>
      <c r="G9" s="73">
        <f>24851.463*1.1</f>
        <v>27336.609300000004</v>
      </c>
      <c r="I9" s="63" t="s">
        <v>70</v>
      </c>
      <c r="J9" s="77">
        <v>8.3299999999999999E-2</v>
      </c>
      <c r="M9" s="78"/>
    </row>
    <row r="10" spans="2:16" ht="22.5" customHeight="1" x14ac:dyDescent="0.25">
      <c r="B10" s="71" t="s">
        <v>71</v>
      </c>
      <c r="C10" s="526" t="s">
        <v>72</v>
      </c>
      <c r="D10" s="527"/>
      <c r="E10" s="528"/>
      <c r="F10" s="71" t="s">
        <v>50</v>
      </c>
      <c r="G10" s="73">
        <f>57986.74335*1.1</f>
        <v>63785.417685</v>
      </c>
      <c r="I10" s="63" t="s">
        <v>73</v>
      </c>
      <c r="J10" s="77">
        <v>4.1700000000000001E-2</v>
      </c>
      <c r="M10" s="78"/>
      <c r="N10" s="79"/>
      <c r="O10" s="79"/>
    </row>
    <row r="11" spans="2:16" ht="22.5" customHeight="1" x14ac:dyDescent="0.25">
      <c r="B11" s="71" t="s">
        <v>74</v>
      </c>
      <c r="C11" s="526" t="s">
        <v>75</v>
      </c>
      <c r="D11" s="527"/>
      <c r="E11" s="528"/>
      <c r="F11" s="71" t="s">
        <v>50</v>
      </c>
      <c r="G11" s="73">
        <f>57986.74335*1.1</f>
        <v>63785.417685</v>
      </c>
      <c r="I11" s="63" t="s">
        <v>76</v>
      </c>
      <c r="J11" s="77">
        <f>SUM(J7:J10)</f>
        <v>0.21829999999999999</v>
      </c>
      <c r="M11" s="78"/>
      <c r="N11" s="79"/>
      <c r="O11" s="79"/>
    </row>
    <row r="12" spans="2:16" ht="22.5" customHeight="1" x14ac:dyDescent="0.25">
      <c r="B12" s="71" t="s">
        <v>77</v>
      </c>
      <c r="C12" s="526" t="s">
        <v>78</v>
      </c>
      <c r="D12" s="527"/>
      <c r="E12" s="528"/>
      <c r="F12" s="71" t="s">
        <v>50</v>
      </c>
      <c r="G12" s="73">
        <f>82838.20635*1.1</f>
        <v>91122.026985000004</v>
      </c>
      <c r="I12" s="63" t="s">
        <v>79</v>
      </c>
      <c r="J12" s="80">
        <f>+J6+J11</f>
        <v>0.77829999999999999</v>
      </c>
      <c r="M12" s="78"/>
    </row>
    <row r="13" spans="2:16" ht="22.5" customHeight="1" x14ac:dyDescent="0.25">
      <c r="B13" s="71" t="s">
        <v>80</v>
      </c>
      <c r="C13" s="526" t="s">
        <v>81</v>
      </c>
      <c r="D13" s="527"/>
      <c r="E13" s="528"/>
      <c r="F13" s="71" t="s">
        <v>50</v>
      </c>
      <c r="G13" s="73">
        <f>82838.20635*1.1</f>
        <v>91122.026985000004</v>
      </c>
      <c r="M13" s="78"/>
    </row>
    <row r="14" spans="2:16" ht="22.5" customHeight="1" x14ac:dyDescent="0.25">
      <c r="B14" s="71" t="s">
        <v>82</v>
      </c>
      <c r="C14" s="526" t="s">
        <v>83</v>
      </c>
      <c r="D14" s="527"/>
      <c r="E14" s="528"/>
      <c r="F14" s="71" t="s">
        <v>50</v>
      </c>
      <c r="G14" s="73">
        <f>107689.66935*1.1</f>
        <v>118458.636285</v>
      </c>
      <c r="I14" s="81"/>
      <c r="J14" s="82"/>
      <c r="L14" s="78"/>
    </row>
    <row r="15" spans="2:16" ht="22.5" customHeight="1" x14ac:dyDescent="0.25">
      <c r="B15" s="71" t="s">
        <v>84</v>
      </c>
      <c r="C15" s="526" t="s">
        <v>85</v>
      </c>
      <c r="D15" s="527"/>
      <c r="E15" s="528"/>
      <c r="F15" s="71" t="s">
        <v>50</v>
      </c>
      <c r="G15" s="73">
        <f>132541.13235*1.1</f>
        <v>145795.24558500003</v>
      </c>
    </row>
    <row r="16" spans="2:16" ht="22.5" customHeight="1" x14ac:dyDescent="0.25">
      <c r="B16" s="71" t="s">
        <v>86</v>
      </c>
      <c r="C16" s="526" t="s">
        <v>87</v>
      </c>
      <c r="D16" s="527"/>
      <c r="E16" s="528"/>
      <c r="F16" s="71" t="s">
        <v>50</v>
      </c>
      <c r="G16" s="73">
        <v>182244.05835000001</v>
      </c>
    </row>
    <row r="17" spans="2:9" ht="22.5" customHeight="1" x14ac:dyDescent="0.25">
      <c r="B17" s="71" t="s">
        <v>88</v>
      </c>
      <c r="C17" s="526" t="s">
        <v>89</v>
      </c>
      <c r="D17" s="527"/>
      <c r="E17" s="528"/>
      <c r="F17" s="71" t="s">
        <v>50</v>
      </c>
      <c r="G17" s="73">
        <v>248514.61905000001</v>
      </c>
      <c r="I17" s="83">
        <f>+G12*8*7</f>
        <v>5102833.5111600002</v>
      </c>
    </row>
    <row r="18" spans="2:9" ht="22.5" customHeight="1" x14ac:dyDescent="0.25">
      <c r="B18" s="71" t="s">
        <v>90</v>
      </c>
      <c r="C18" s="526" t="s">
        <v>91</v>
      </c>
      <c r="D18" s="527"/>
      <c r="E18" s="528"/>
      <c r="F18" s="71" t="s">
        <v>50</v>
      </c>
      <c r="G18" s="73">
        <f>94400.826*1.1</f>
        <v>103840.90860000001</v>
      </c>
      <c r="I18" s="62">
        <f>+G7*8*4</f>
        <v>1240584.8963039999</v>
      </c>
    </row>
    <row r="19" spans="2:9" ht="22.5" customHeight="1" x14ac:dyDescent="0.25">
      <c r="B19" s="71" t="s">
        <v>92</v>
      </c>
      <c r="C19" s="84" t="s">
        <v>93</v>
      </c>
      <c r="D19" s="85"/>
      <c r="E19" s="86"/>
      <c r="F19" s="71" t="s">
        <v>50</v>
      </c>
      <c r="G19" s="73">
        <v>140824.9497</v>
      </c>
      <c r="I19" s="87">
        <f>+I18+I17</f>
        <v>6343418.4074640004</v>
      </c>
    </row>
  </sheetData>
  <mergeCells count="22">
    <mergeCell ref="C8:E8"/>
    <mergeCell ref="B2:G2"/>
    <mergeCell ref="C3:E3"/>
    <mergeCell ref="C4:E4"/>
    <mergeCell ref="C5:E5"/>
    <mergeCell ref="C6:E6"/>
    <mergeCell ref="C7:E7"/>
    <mergeCell ref="L7:L8"/>
    <mergeCell ref="M7:M8"/>
    <mergeCell ref="N7:N8"/>
    <mergeCell ref="O7:O8"/>
    <mergeCell ref="P7:P8"/>
    <mergeCell ref="C15:E15"/>
    <mergeCell ref="C16:E16"/>
    <mergeCell ref="C17:E17"/>
    <mergeCell ref="C18:E18"/>
    <mergeCell ref="C9:E9"/>
    <mergeCell ref="C10:E10"/>
    <mergeCell ref="C11:E11"/>
    <mergeCell ref="C12:E12"/>
    <mergeCell ref="C13:E13"/>
    <mergeCell ref="C14:E14"/>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ppto oficial </vt:lpstr>
      <vt:lpstr>APUS</vt:lpstr>
      <vt:lpstr>INSUMOS</vt:lpstr>
      <vt:lpstr>CUADRILLAS</vt:lpstr>
      <vt:lpstr>APUS!Área_de_impresión</vt:lpstr>
      <vt:lpstr>INSUMOS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dc:creator>
  <cp:keywords/>
  <dc:description/>
  <cp:lastModifiedBy>Sandra Fabiola Castro Rincón</cp:lastModifiedBy>
  <dcterms:created xsi:type="dcterms:W3CDTF">2026-02-02T10:43:46Z</dcterms:created>
  <dcterms:modified xsi:type="dcterms:W3CDTF">2026-05-05T15:40:01Z</dcterms:modified>
  <cp:category/>
</cp:coreProperties>
</file>